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jpg" ContentType="image/jpeg"/>
  <Default Extension="vml" ContentType="application/vnd.openxmlformats-officedocument.vmlDrawing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worksheets/sheet5.xml" ContentType="application/vnd.openxmlformats-officedocument.spreadsheetml.worksheet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e6fea0dee048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Начать здесь" sheetId="1" r:id="R3a14a4503e2b4854"/>
    <x:sheet xmlns:r="http://schemas.openxmlformats.org/officeDocument/2006/relationships" name="Места" sheetId="2" r:id="Reebe5c566347440e"/>
    <x:sheet xmlns:r="http://schemas.openxmlformats.org/officeDocument/2006/relationships" name="Отзывы" sheetId="3" r:id="R056c57afcc42431d"/>
    <x:sheet xmlns:r="http://schemas.openxmlformats.org/officeDocument/2006/relationships" name="Фото" sheetId="4" r:id="Rc9226a5b10c44776"/>
    <x:sheet xmlns:r="http://schemas.openxmlformats.org/officeDocument/2006/relationships" name="Карта" sheetId="5" r:id="R3c550cfd30274d84"/>
  </x:sheets>
  <x:calcPr calcId="191029" fullCalcOnLoad="1" forceFullCalc="1"/>
</x:workbook>
</file>

<file path=xl/comments1.xml><?xml version="1.0" encoding="utf-8"?>
<x:comments xmlns:x="http://schemas.openxmlformats.org/spreadsheetml/2006/main">
  <x:authors>
    <x:author/>
  </x:authors>
  <x:commentList>
    <x:comment ref="F11" authorId="0">
      <x:text>
        <x:r>
          <x:t>Tripadvisor. Проверено 29.09.2026 по индексированным страницам; не live-счётчик. https://www.tripadvisor.com/Attraction_Review-g297701-d378969-Reviews-Sacred_Monkey_Forest_Sanctuary-Ubud_Gianyar_Regency_Bali.html</x:t>
        </x:r>
      </x:text>
    </x:comment>
    <x:comment ref="F12" authorId="0">
      <x:text>
        <x:r>
          <x:t>Tripadvisor. Проверено 29.09.2026 по индексированным страницам; не live-счётчик. https://www.tripadvisor.com/Attraction_Review-g608497-d1515658-Reviews-Tegalalang_Rice_Terrace-Tegalalang_Gianyar_Regency_Bali.html</x:t>
        </x:r>
      </x:text>
    </x:comment>
    <x:comment ref="F13" authorId="0">
      <x:text>
        <x:r>
          <x:t>Tripadvisor. Проверено 29.09.2026 по индексированным страницам; не live-счётчик. https://www.tripadvisor.com/Attraction_Review-g2283829-d379340-Reviews-Tanah_Lot-Beraban_Bali.html</x:t>
        </x:r>
      </x:text>
    </x:comment>
    <x:comment ref="F14" authorId="0">
      <x:text>
        <x:r>
          <x:t>Tripadvisor. Проверено 29.09.2026 по индексированным страницам; не live-счётчик. https://www.tripadvisor.com/Attraction_Review-g1380108-d592779-Reviews-Uluwatu_Temple-Pecatu_Bukit_Peninsula_Bali.html</x:t>
        </x:r>
      </x:text>
    </x:comment>
    <x:comment ref="F15" authorId="0">
      <x:text>
        <x:r>
          <x:t>Tripadvisor. Проверено 29.09.2026 по индексированным страницам; не live-счётчик. https://www.tripadvisor.com/Attraction_Review-g297700-d1721869-Reviews-Sanur_Beach-Sanur_Denpasar_Bali.html</x:t>
        </x:r>
      </x:text>
    </x:comment>
    <x:comment ref="F16" authorId="0">
      <x:text>
        <x:r>
          <x:t>Tripadvisor. Проверено 29.09.2026 по индексированным страницам; не live-счётчик. https://www.tripadvisor.com/Attraction_Review-g297701-d2662551-Reviews-Campuhan_Ridge_Walk-Ubud_Gianyar_Regency_Bali.html</x:t>
        </x:r>
      </x:text>
    </x:comment>
    <x:comment ref="F17" authorId="0">
      <x:text>
        <x:r>
          <x:t>Tripadvisor. Проверено 29.09.2026 по индексированным страницам; не live-счётчик. https://www.tripadvisor.co.uk/Attraction_Review-g297701-d451059-Reviews-Elephant_Cave-Ubud_Gianyar_Regency_Bali.html</x:t>
        </x:r>
      </x:text>
    </x:comment>
    <x:comment ref="F18" authorId="0">
      <x:text>
        <x:r>
          <x:t>Tripadvisor. Проверено 29.09.2026 по индексированным страницам; не live-счётчик. https://www.tripadvisor.com/Attraction_Review-g297701-d2643063-Reviews-Tegenungan_Waterfall-Ubud_Gianyar_Regency_Bali.html</x:t>
        </x:r>
      </x:text>
    </x:comment>
    <x:comment ref="F19" authorId="0">
      <x:text>
        <x:r>
          <x:t>Tripadvisor. Проверено 29.09.2026 по индексированным страницам; не live-счётчик. https://www.tripadvisor.com/Attraction_Review-g19415112-d447061-Reviews-Ulun_Danu_Bratan-Belalang_Kediri_Bali.html</x:t>
        </x:r>
      </x:text>
    </x:comment>
    <x:comment ref="F20" authorId="0">
      <x:text>
        <x:r>
          <x:t>Tripadvisor. Проверено 29.09.2026 по индексированным страницам; не live-счётчик. https://www.tripadvisor.com/Attraction_Review-g297697-d4416527-Reviews-Pandawa_Beach-Kuta_Kuta_District_Badung_Regency_Bali.html</x:t>
        </x:r>
      </x:text>
    </x:comment>
    <x:comment ref="F21" authorId="0">
      <x:text>
        <x:r>
          <x:t>Tripadvisor. Проверено 29.09.2026 по индексированным страницам; не live-счётчик. https://www.tripadvisor.com/Restaurant_Review-g297701-d991554-Reviews-Bebek_Bengil_Ubud-Ubud_Gianyar_Regency_Bali.html</x:t>
        </x:r>
      </x:text>
    </x:comment>
    <x:comment ref="F22" authorId="0">
      <x:text>
        <x:r>
          <x:t>Tripadvisor. Проверено 29.09.2026 по индексированным страницам; не live-счётчик. https://www.tripadvisor.com/Attraction_Review-g15226519-d1912575-Reviews-Tirta_Empul_Temple-Manukaya_Tampaksiring_Gianyar_Regency_Bali.html</x:t>
        </x:r>
      </x:text>
    </x:comment>
    <x:comment ref="F23" authorId="0">
      <x:text>
        <x:r>
          <x:t>Tripadvisor. Проверено 29.09.2026 по индексированным страницам; не live-счётчик. https://www.tripadvisor.com/Restaurant_Review-g297701-d1077574-Reviews-Naughty_Nuri_s_Warung_and_Grill-Ubud_Gianyar_Regency_Bali.html</x:t>
        </x:r>
      </x:text>
    </x:comment>
    <x:comment ref="F24" authorId="0">
      <x:text>
        <x:r>
          <x:t>Tripadvisor. Проверено 29.09.2026 по индексированным страницам; не live-счётчик. https://www.tripadvisor.co.uk/Attraction_Review-g780769-d1158015-Reviews-Tirtagangga_Park-Ababi_Karangasem_Bali.html</x:t>
        </x:r>
      </x:text>
    </x:comment>
    <x:comment ref="F25" authorId="0">
      <x:text>
        <x:r>
          <x:t>Tripadvisor. Проверено 29.09.2026 по индексированным страницам; не live-счётчик. https://www.tripadvisor.com/Attraction_Review-g1380108-d2226754-Reviews-Padang_Padang_Beach-Pecatu_Bukit_Peninsula_Bali.html</x:t>
        </x:r>
      </x:text>
    </x:comment>
    <x:comment ref="F26" authorId="0">
      <x:text>
        <x:r>
          <x:t>Tripadvisor. Проверено 29.09.2026 по индексированным страницам; не live-счётчик. https://www.tripadvisor.co.uk/Attraction_Review-g303952-d676508-Reviews-Mount_Batur-Kintamani_Bangli_Bali.html</x:t>
        </x:r>
      </x:text>
    </x:comment>
    <x:comment ref="F27" authorId="0">
      <x:text>
        <x:r>
          <x:t>Tripadvisor. Проверено 29.09.2026 по индексированным страницам; не live-счётчик. https://www.tripadvisor.co.uk/Attraction_Review-g608484-d506291-Reviews-Besakih_Temple-Karangasem_Bali.html</x:t>
        </x:r>
      </x:text>
    </x:comment>
    <x:comment ref="F28" authorId="0">
      <x:text>
        <x:r>
          <x:t>Tripadvisor. Проверено 29.09.2026 по индексированным страницам; не live-счётчик. https://www.tripadvisor.in/Attraction_Review-g19415112-d1822321-Reviews-Jatiluwih_Green_Land-Belalang_Kediri_Bali.html</x:t>
        </x:r>
      </x:text>
    </x:comment>
    <x:comment ref="F29" authorId="0">
      <x:text>
        <x:r>
          <x:t>Tripadvisor. Проверено 29.09.2026 по индексированным страницам; не live-счётчик. https://www.tripadvisor.co.uk/Restaurant_Review-g297701-d3680515-Reviews-Warung_Babi_Guling_Ibu_Oka_3-Ubud_Gianyar_Regency_Bali.html</x:t>
        </x:r>
      </x:text>
    </x:comment>
    <x:comment ref="F30" authorId="0">
      <x:text>
        <x:r>
          <x:t>Tripadvisor. Проверено 29.09.2026 по индексированным страницам; не live-счётчик. https://www.tripadvisor.com/Restaurant_Review-g297701-d2506136-Reviews-Warung_Biahbiah-Ubud_Gianyar_Regency_Bali.html</x:t>
        </x:r>
      </x:text>
    </x:comment>
    <x:comment ref="F31" authorId="0">
      <x:text>
        <x:r>
          <x:t>Tripadvisor. Проверено 29.09.2026 по индексированным страницам; не live-счётчик. https://www.tripadvisor.com/Attraction_Review-g2538506-d12396108-Reviews-Kelingking_Beach-Nusa_Penida_Bali.html</x:t>
        </x:r>
      </x:text>
    </x:comment>
    <x:comment ref="F32" authorId="0">
      <x:text>
        <x:r>
          <x:t>Tripadvisor. Проверено 29.09.2026 по индексированным страницам; не live-счётчик. https://www.tripadvisor.com/Attraction_Review-g1025508-d1595129-Reviews-Taman_Ayun_Temple-Mengwi_Badung_Regency_Bali.html</x:t>
        </x:r>
      </x:text>
    </x:comment>
    <x:comment ref="F33" authorId="0">
      <x:text>
        <x:r>
          <x:t>Tripadvisor. Проверено 29.09.2026 по индексированным страницам; не live-счётчик. https://www.tripadvisor.com/Attraction_Review-g15319469-d3218339-Reviews-Sekumpul_Waterfall-Sekumpul_Buleleng_Regency_Bali.html</x:t>
        </x:r>
      </x:text>
    </x:comment>
    <x:comment ref="F34" authorId="0">
      <x:text>
        <x:r>
          <x:t>Tripadvisor. Проверено 29.09.2026 по индексированным страницам; не live-счётчик. https://www.tripadvisor.co.uk/Attraction_Review-g297699-d626130-Reviews-Git_Git_Waterfall-Singaraja_Buleleng_District_Buleleng_Regency_Bali.html</x:t>
        </x:r>
      </x:text>
    </x:comment>
    <x:comment ref="F35" authorId="0">
      <x:text>
        <x:r>
          <x:t>Tripadvisor. Проверено 29.09.2026 по индексированным страницам; не live-счётчик. https://www.tripadvisor.com/Restaurant_Review-g311298-d12971695-Reviews-La_Brisa-Canggu_North_Kuta_Badung_Regency_Bali.html</x:t>
        </x:r>
      </x:text>
    </x:comment>
    <x:comment ref="F36" authorId="0">
      <x:text>
        <x:r>
          <x:t>Tripadvisor. Проверено 29.09.2026 по индексированным страницам; не live-счётчик. https://www.tripadvisor.com/Attraction_Review-g608484-d2211842-Reviews-Ujung_Water_Palace-Karangasem_Bali.html</x:t>
        </x:r>
      </x:text>
    </x:comment>
    <x:comment ref="F37" authorId="0">
      <x:text>
        <x:r>
          <x:t>Tripadvisor. Проверено 29.09.2026 по индексированным страницам; не live-счётчик. https://www.tripadvisor.com/Attraction_Review-g1025505-d1972269-Reviews-Mount_Kawi-Tampaksiring_Gianyar_Regency_Bali.html</x:t>
        </x:r>
      </x:text>
    </x:comment>
    <x:comment ref="F38" authorId="0">
      <x:text>
        <x:r>
          <x:t>Tripadvisor. Проверено 29.09.2026 по индексированным страницам; не live-счётчик. https://www.tripadvisor.com/Attraction_Review-g297697-d3608315-Reviews-Balangan_Beach-Kuta_Kuta_District_Badung_Regency_Bali.html</x:t>
        </x:r>
      </x:text>
    </x:comment>
    <x:comment ref="F39" authorId="0">
      <x:text>
        <x:r>
          <x:t>Tripadvisor. Проверено 29.09.2026 по индексированным страницам; не live-счётчик. https://www.tripadvisor.com/Attraction_Review-g2528749-d4155196-Reviews-Lempuyang_Temple-Abang_Karangasem_Bali.html</x:t>
        </x:r>
      </x:text>
    </x:comment>
    <x:comment ref="F40" authorId="0">
      <x:text>
        <x:r>
          <x:t>Tripadvisor. Проверено 29.09.2026 по индексированным страницам; не live-счётчик. https://www.tripadvisor.com/Restaurant_Review-g469404-d2629908-Reviews-Warung_Babi_Guling_Pak_Malen-Seminyak_Kuta_District_Badung_Regency_Bali.html</x:t>
        </x:r>
      </x:text>
    </x:comment>
    <x:comment ref="F41" authorId="0">
      <x:text>
        <x:r>
          <x:t>Tripadvisor. Проверено 29.09.2026 по индексированным страницам; не live-счётчик. https://www.tripadvisor.com/Attraction_Review-g608478-d6515924-Reviews-Jemeluk_Beach-Amed_Abang_Karangasem_Bali.html</x:t>
        </x:r>
      </x:text>
    </x:comment>
    <x:comment ref="F42" authorId="0">
      <x:text>
        <x:r>
          <x:t>Tripadvisor. Проверено 29.09.2026 по индексированным страницам; не live-счётчик. https://www.tripadvisor.com/Attraction_Review-g2538506-d6979297-Reviews-Crystal_Bay-Nusa_Penida_Bali.html</x:t>
        </x:r>
      </x:text>
    </x:comment>
    <x:comment ref="F43" authorId="0">
      <x:text>
        <x:r>
          <x:t>Tripadvisor. Проверено 29.09.2026 по индексированным страницам; не live-счётчик. https://www.tripadvisor.com/Restaurant_Review-g297700-d2305991-Reviews-Warung_Mak_Beng-Sanur_Denpasar_Bali.html</x:t>
        </x:r>
      </x:text>
    </x:comment>
    <x:comment ref="F44" authorId="0">
      <x:text>
        <x:r>
          <x:t>Tripadvisor. Проверено 29.09.2026 по индексированным страницам; не live-счётчик. https://www.tripadvisor.com/Attraction_Review-g1380108-d3215160-Reviews-Bingin_Beach-Pecatu_Bukit_Peninsula_Bali.html</x:t>
        </x:r>
      </x:text>
    </x:comment>
    <x:comment ref="F45" authorId="0">
      <x:text>
        <x:r>
          <x:t>Tripadvisor. Проверено 29.09.2026 по индексированным страницам; не live-счётчик. https://www.tripadvisor.com/Attraction_Review-g19415112-d592165-Reviews-Bali_Butterfly_Park-Belalang_Kediri_Bali.html</x:t>
        </x:r>
      </x:text>
    </x:comment>
    <x:comment ref="F46" authorId="0">
      <x:text>
        <x:r>
          <x:t>Tripadvisor. Проверено 29.09.2026 по индексированным страницам; не live-счётчик. https://www.tripadvisor.com/Attraction_Review-g469405-d3470659-Reviews-Tenganan_Ancient_Village-Tenganan_Manggis_Bali.html</x:t>
        </x:r>
      </x:text>
    </x:comment>
    <x:comment ref="F47" authorId="0">
      <x:text>
        <x:r>
          <x:t>Tripadvisor. Проверено 29.09.2026 по индексированным страницам; не live-счётчик. https://www.tripadvisor.com/Attraction_Review-g1025506-d3263502-Reviews-Penglipuran_Village-Bangli_Bali.html</x:t>
        </x:r>
      </x:text>
    </x:comment>
    <x:comment ref="F48" authorId="0">
      <x:text>
        <x:r>
          <x:t>Tripadvisor. Проверено 29.09.2026 по индексированным страницам; не live-счётчик. https://www.tripadvisor.com/Attraction_Review-g1219108-d8011713-Reviews-Pantai_Melasti_Ungasan-Ungasan_Bukit_Peninsula_Bali.html</x:t>
        </x:r>
      </x:text>
    </x:comment>
    <x:comment ref="F49" authorId="0">
      <x:text>
        <x:r>
          <x:t>Tripadvisor. Проверено 29.09.2026 по индексированным страницам; не live-счётчик. https://www.tripadvisor.com/Attraction_Review-g9723252-d7037916-Reviews-Sangeh_Monkey_Forest-Sangeh_Bali.html</x:t>
        </x:r>
      </x:text>
    </x:comment>
    <x:comment ref="F50" authorId="0">
      <x:text>
        <x:r>
          <x:t>Tripadvisor. Проверено 29.09.2026 по индексированным страницам; не live-счётчик. https://www.tripadvisor.com/Attraction_Review-g19415112-d3736079-Reviews-Bali_Botanic_Garden-Belalang_Kediri_Bali.html</x:t>
        </x:r>
      </x:text>
    </x:comment>
    <x:comment ref="F51" authorId="0">
      <x:text>
        <x:r>
          <x:t>Tripadvisor. Проверено 29.09.2026 по индексированным страницам; не live-счётчик. https://www.tripadvisor.com/Restaurant_Review-g297701-d13859712-Reviews-Zest_Ubud_Restaurant-Ubud_Gianyar_Regency_Bali.html</x:t>
        </x:r>
      </x:text>
    </x:comment>
    <x:comment ref="F52" authorId="0">
      <x:text>
        <x:r>
          <x:t>Tripadvisor. Проверено 29.09.2026 по индексированным страницам; не live-счётчик. https://www.tripadvisor.com/Attraction_Review-g608490-d3267471-Reviews-Munduk_Waterfall-Munduk_Banjar_Buleleng_Regency_Bali.html</x:t>
        </x:r>
      </x:text>
    </x:comment>
    <x:comment ref="F53" authorId="0">
      <x:text>
        <x:r>
          <x:t>Tripadvisor. Проверено 29.09.2026 по индексированным страницам; не live-счётчик. https://www.tripadvisor.com/Attraction_Review-g1219108-d2032815-Reviews-Pantai_Green_Bowl-Ungasan_Bukit_Peninsula_Bali.html</x:t>
        </x:r>
      </x:text>
    </x:comment>
    <x:comment ref="F54" authorId="0">
      <x:text>
        <x:r>
          <x:t>Tripadvisor. Проверено 29.09.2026 по индексированным страницам; не live-счётчик. https://www.tripadvisor.com/Attraction_Review-g15245800-d9705473-Reviews-Kanto_Lampo_Waterfall-Beng_Gianyar_Gianyar_Regency_Bali.html</x:t>
        </x:r>
      </x:text>
    </x:comment>
    <x:comment ref="F55" authorId="0">
      <x:text>
        <x:r>
          <x:t>Tripadvisor. Проверено 29.09.2026 по индексированным страницам; не live-счётчик. https://www.tripadvisor.com/Attraction_Review-g1380108-d1555393-Reviews-Suluban_Beach-Pecatu_Bukit_Peninsula_Bali.html</x:t>
        </x:r>
      </x:text>
    </x:comment>
    <x:comment ref="F56" authorId="0">
      <x:text>
        <x:r>
          <x:t>Tripadvisor. Проверено 29.09.2026 по индексированным страницам; не live-счётчик. https://www.tripadvisor.com/Attraction_Review-g2538506-d7047720-Reviews-Atuh_Beach-Nusa_Penida_Bali.html</x:t>
        </x:r>
      </x:text>
    </x:comment>
    <x:comment ref="F57" authorId="0">
      <x:text>
        <x:r>
          <x:t>Tripadvisor. Проверено 29.09.2026 по индексированным страницам; не live-счётчик. https://www.tripadvisor.com/Attraction_Review-g294226-d4226508-Reviews-Batur_Natural_Hotspring-Bali.html</x:t>
        </x:r>
      </x:text>
    </x:comment>
    <x:comment ref="F58" authorId="0">
      <x:text>
        <x:r>
          <x:t>Tripadvisor. Проверено 29.09.2026 по индексированным страницам; не live-счётчик. https://www.tripadvisor.com/Attraction_Review-g14121454-d8394554-Reviews-Aling_Aling_Waterfall-Sambangan_Sukasada_Buleleng_Regency_Bali.html</x:t>
        </x:r>
      </x:text>
    </x:comment>
    <x:comment ref="F59" authorId="0">
      <x:text>
        <x:r>
          <x:t>Tripadvisor. Проверено 29.09.2026 по индексированным страницам; не live-счётчик. https://www.tripadvisor.com/Attraction_Review-g3400859-d9705661-Reviews-Tukad_Cepung_Waterfall-Tembuku_Bali.html</x:t>
        </x:r>
      </x:text>
    </x:comment>
    <x:comment ref="F60" authorId="0">
      <x:text>
        <x:r>
          <x:t>Tripadvisor. Проверено 29.09.2026 по индексированным страницам; не live-счётчик. https://www.tripadvisor.com/Attraction_Review-g19140131-d8866501-Reviews-Beji_Guwang_Hidden_Canyon-Guwang_Sukawati_Gianyar_Regency_Bali.html</x:t>
        </x:r>
      </x:text>
    </x:comment>
    <x:comment ref="F61" authorId="0">
      <x:text>
        <x:r>
          <x:t>Tripadvisor. Проверено 29.09.2026 по индексированным страницам; не live-счётчик. https://www.tripadvisor.com/Attraction_Review-g9856222-d7619192-Reviews-Nungnung_Waterfall-Nungnung_Bali.html</x:t>
        </x:r>
      </x:text>
    </x:comment>
    <x:comment ref="F62" authorId="0">
      <x:text>
        <x:r>
          <x:t>Tripadvisor. Проверено 29.09.2026 по индексированным страницам; не live-счётчик. https://www.tripadvisor.com/Restaurant_Review-g297701-d3423860-Reviews-Nasi_Ayam_Kedewatan_Ibu_Mangku-Ubud_Gianyar_Regency_Bali.html</x:t>
        </x:r>
      </x:text>
    </x:comment>
    <x:comment ref="F63" authorId="0">
      <x:text>
        <x:r>
          <x:t>Tripadvisor. Проверено 29.09.2026 по индексированным страницам; не live-счётчик. https://www.tripadvisor.com/Attraction_Review-g20309582-d10802002-Reviews-Virgin_Beach-Sengkidu_Manggis_Bali.html</x:t>
        </x:r>
      </x:text>
    </x:comment>
    <x:comment ref="F64" authorId="0">
      <x:text>
        <x:r>
          <x:t>Tripadvisor. Проверено 29.09.2026 по индексированным страницам; не live-счётчик. https://www.tripadvisor.com/Attraction_Review-g12288293-d9757743-Reviews-Banyumala_Twin_Waterfalls-Wanagiri_Sukasada_Buleleng_Regency_Bali.html</x:t>
        </x:r>
      </x:text>
    </x:comment>
    <x:comment ref="F65" authorId="0">
      <x:text>
        <x:r>
          <x:t>Tripadvisor. Проверено 29.09.2026 по индексированным страницам; не live-счётчик. https://www.tripadvisor.com/Attraction_Review-g1380108-d7043534-Reviews-Nyang_nyang_Beach-Pecatu_Bukit_Peninsula_Bali.html</x:t>
        </x:r>
      </x:text>
    </x:comment>
    <x:comment ref="F66" authorId="0">
      <x:text>
        <x:r>
          <x:t>Tripadvisor. Проверено 29.09.2026 по индексированным страницам; не live-счётчик. https://www.tripadvisor.com/Restaurant_Review-g297701-d19056652-Reviews-Pison_Ubud-Ubud_Gianyar_Regency_Bali.html</x:t>
        </x:r>
      </x:text>
    </x:comment>
    <x:comment ref="F67" authorId="0">
      <x:text>
        <x:r>
          <x:t>Tripadvisor. Проверено 29.09.2026 по индексированным страницам; не live-счётчик. https://www.tripadvisor.com/Attraction_Review-g608490-d4036213-Reviews-Tamblingan_Lake-Munduk_Banjar_Buleleng_Regency_Bali.html</x:t>
        </x:r>
      </x:text>
    </x:comment>
    <x:comment ref="F68" authorId="0">
      <x:text>
        <x:r>
          <x:t>Tripadvisor. Проверено 29.09.2026 по индексированным страницам; не live-счётчик. https://www.tripadvisor.com/Attraction_Review-g15324398-d10064374-Reviews-Tibumana_Waterfall-Apuan_Bangli_Bali.html</x:t>
        </x:r>
      </x:text>
    </x:comment>
    <x:comment ref="F69" authorId="0">
      <x:text>
        <x:r>
          <x:t>Tripadvisor. Проверено 29.09.2026 по индексированным страницам; не live-счётчик. https://www.tripadvisor.com/Attraction_Review-g2538506-d15142231-Reviews-Pantai_Diamond-Nusa_Penida_Bali.html</x:t>
        </x:r>
      </x:text>
    </x:comment>
    <x:comment ref="F70" authorId="0">
      <x:text>
        <x:r>
          <x:t>Tripadvisor. Проверено 29.09.2026 по индексированным страницам; не live-счётчик. https://www.tripadvisor.co.uk/Restaurant_Review-g297696-d4367663-Reviews-Warung_Mami_Ikan_Bakar-Jimbaran_South_Kuta_Badung_Regency_Bali.html</x:t>
        </x:r>
      </x:text>
    </x:comment>
    <x:comment ref="F71" authorId="0">
      <x:text>
        <x:r>
          <x:t>Tripadvisor. Проверено 29.09.2026 по индексированным страницам; не live-счётчик. https://www.tripadvisor.com/Attraction_Review-g1191333-d6370370-Reviews-Pantai_Gunung_Payung-Nusa_Dua_Peninsula_Bali.html</x:t>
        </x:r>
      </x:text>
    </x:comment>
    <x:comment ref="F72" authorId="0">
      <x:text>
        <x:r>
          <x:t>Tripadvisor. Проверено 29.09.2026 по индексированным страницам; не live-счётчик. https://www.tripadvisor.com/Restaurant_Review-g297700-d8758350-Reviews-Nasi_Ayam_Men_Weti-Sanur_Denpasar_Bali.html</x:t>
        </x:r>
      </x:text>
    </x:comment>
    <x:comment ref="F73" authorId="0">
      <x:text>
        <x:r>
          <x:t>Tripadvisor. Проверено 29.09.2026 по индексированным страницам; не live-счётчик. https://www.tripadvisor.com/Attraction_Review-g608480-d17537630-Reviews-Leke_Leke_Waterfall-Baturiti_Bali.html</x:t>
        </x:r>
      </x:text>
    </x:comment>
    <x:comment ref="F74" authorId="0">
      <x:text>
        <x:r>
          <x:t>Tripadvisor. Проверено 29.09.2026 по индексированным страницам; не live-счётчик. https://www.tripadvisor.com/Attraction_Review-g1234719-d7043115-Reviews-Bunut_Bolong-Pekutatan_Bali.html</x:t>
        </x:r>
      </x:text>
    </x:comment>
    <x:comment ref="F75" authorId="0">
      <x:text>
        <x:r>
          <x:t>Tripadvisor. Проверено 29.09.2026 по индексированным страницам; не live-счётчик. https://www.tripadvisor.com/Restaurant_Review-g608487-d14206380-Reviews-Sate_Babi_Bawah_Pohon-Legian_Kuta_District_Badung_Regency_Bali.html</x:t>
        </x:r>
      </x:text>
    </x:comment>
    <x:comment ref="F76" authorId="0">
      <x:text>
        <x:r>
          <x:t>Tripadvisor. Проверено 29.09.2026 по индексированным страницам; не live-счётчик. https://www.tripadvisor.co.uk/Attraction_Review-g12288293-d15125410-Reviews-Banyu_Wana_Amertha_Waterfall-Wanagiri_Sukasada_Buleleng_Regency_Bali.html</x:t>
        </x:r>
      </x:text>
    </x:comment>
    <x:comment ref="F77" authorId="0">
      <x:text>
        <x:r>
          <x:t>Tripadvisor. Проверено 29.09.2026 по индексированным страницам; не live-счётчик. https://www.tripadvisor.com/Attraction_Review-g2528749-d25214752-Reviews-Lahangan_Sweet-Abang_Karangasem_Bali.html</x:t>
        </x:r>
      </x:text>
    </x:comment>
    <x:comment ref="F78" authorId="0">
      <x:text>
        <x:r>
          <x:t>Tripadvisor. Проверено 29.09.2026 по индексированным страницам; не live-счётчик. https://www.tripadvisor.com/Restaurant_Review-g10086747-d20118812-Reviews-BAKED_Bali-Tibubeneng_North_Kuta_Badung_Regency_Bali.html</x:t>
        </x:r>
      </x:text>
    </x:comment>
    <x:comment ref="F79" authorId="0">
      <x:text>
        <x:r>
          <x:t>Tripadvisor. Проверено 29.09.2026 по индексированным страницам; не live-счётчик. https://www.tripadvisor.com/Attraction_Review-g608495-d26328021-Reviews-Gembleng_Waterfall-Sidemen_Karangasem_Bali.html</x:t>
        </x:r>
      </x:text>
    </x:comment>
    <x:comment ref="F80" authorId="0">
      <x:text>
        <x:r>
          <x:t>Tripadvisor. Проверено 29.09.2026 по индексированным страницам; не live-счётчик. https://www.tripadvisor.com/Attraction_Review-g20309582-d12033896-Reviews-Bukit_Asah-Sengkidu_Manggis_Bali.html</x:t>
        </x:r>
      </x:text>
    </x:comment>
    <x:comment ref="F81" authorId="0">
      <x:text>
        <x:r>
          <x:t>Tripadvisor. Проверено 29.09.2026 по индексированным страницам; не live-счётчик. https://www.tripadvisor.com.sg/Attraction_Review-g608495-d32768167-Reviews-Sidemen_Rice_Terrace_Sidemen-Sidemen_Karangasem_Bali.html</x:t>
        </x:r>
      </x:text>
    </x:comment>
    <x:comment ref="F82" authorId="0">
      <x:text>
        <x:r>
          <x:t>Tripadvisor. Проверено 29.09.2026 по индексированным страницам; не live-счётчик. https://www.tripadvisor.com/Attraction_Review-g297695-d21270785-Reviews-Suwat_Waterfall-Gianyar_Gianyar_Regency_Bali.html</x:t>
        </x:r>
      </x:text>
    </x:comment>
    <x:comment ref="F83" authorId="0">
      <x:text>
        <x:r>
          <x:t>Google через Wanderlog. Проверено 29.09.2026 по индексированным страницам; не live-счётчик. https://wanderlog.com/place/details/786403/savana-tianyar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"/>
    <x:numFmt numFmtId="201" formatCode="#,##0"/>
    <x:numFmt numFmtId="202" formatCode="0.000000"/>
  </x:numFmts>
  <x:fonts count="18">
    <x:font>
      <x:sz val="11"/>
      <x:name val="Carlito"/>
    </x:font>
    <x:font>
      <x:sz val="11"/>
      <x:color rgb="FF173E3A"/>
      <x:name val="Arial"/>
    </x:font>
    <x:font>
      <x:b/>
      <x:sz val="34"/>
      <x:color rgb="FF173E3A"/>
      <x:name val="Arial"/>
    </x:font>
    <x:font>
      <x:sz val="12"/>
      <x:color rgb="FF667B73"/>
      <x:name val="Arial"/>
    </x:font>
    <x:font>
      <x:b/>
      <x:sz val="12"/>
      <x:color rgb="FF173E3A"/>
      <x:name val="Arial"/>
    </x:font>
    <x:font>
      <x:sz val="11"/>
      <x:color rgb="FF24699E"/>
      <x:name val="Arial"/>
    </x:font>
    <x:font>
      <x:b/>
      <x:sz val="14"/>
      <x:color rgb="FFFFFFFF"/>
      <x:name val="Arial"/>
    </x:font>
    <x:font>
      <x:b/>
      <x:sz val="11"/>
      <x:color rgb="FF173E3A"/>
      <x:name val="Arial"/>
    </x:font>
    <x:font>
      <x:b/>
      <x:sz val="25"/>
      <x:color rgb="FF173E3A"/>
      <x:name val="Arial"/>
    </x:font>
    <x:font>
      <x:sz val="11"/>
      <x:color rgb="FF667B73"/>
      <x:name val="Arial"/>
    </x:font>
    <x:font>
      <x:b/>
      <x:sz val="13"/>
      <x:color rgb="FFFFFFFF"/>
      <x:name val="Arial"/>
    </x:font>
    <x:font>
      <x:b/>
      <x:sz val="11"/>
      <x:color rgb="FF9D442F"/>
      <x:name val="Arial"/>
    </x:font>
    <x:font>
      <x:b/>
      <x:sz val="17"/>
      <x:color rgb="FFB77631"/>
      <x:name val="Arial"/>
    </x:font>
    <x:font>
      <x:b/>
      <x:sz val="11"/>
      <x:color rgb="FFFFFFFF"/>
      <x:name val="Arial"/>
    </x:font>
    <x:font>
      <x:b/>
      <x:sz val="27"/>
      <x:color rgb="FF173E3A"/>
      <x:name val="Arial"/>
    </x:font>
    <x:font>
      <x:b/>
      <x:sz val="12"/>
      <x:color rgb="FFFFFFFF"/>
      <x:name val="Arial"/>
    </x:font>
    <x:font>
      <x:sz val="10"/>
      <x:color rgb="FF173E3A"/>
      <x:name val="Arial"/>
    </x:font>
    <x:font>
      <x:sz val="10"/>
      <x:color rgb="FF667B73"/>
      <x:name val="Arial"/>
    </x:font>
  </x:fonts>
  <x:fills count="11">
    <x:fill>
      <x:patternFill patternType="none"/>
    </x:fill>
    <x:fill>
      <x:patternFill patternType="gray125"/>
    </x:fill>
    <x:fill>
      <x:patternFill patternType="solid">
        <x:fgColor rgb="FFF7F5EE"/>
      </x:patternFill>
    </x:fill>
    <x:fill>
      <x:patternFill patternType="solid">
        <x:fgColor rgb="FF173E3A"/>
      </x:patternFill>
    </x:fill>
    <x:fill>
      <x:patternFill patternType="solid">
        <x:fgColor rgb="FF438564"/>
      </x:patternFill>
    </x:fill>
    <x:fill>
      <x:patternFill patternType="solid">
        <x:fgColor rgb="FFFFFFFF"/>
      </x:patternFill>
    </x:fill>
    <x:fill>
      <x:patternFill patternType="solid">
        <x:fgColor rgb="FF885C93"/>
      </x:patternFill>
    </x:fill>
    <x:fill>
      <x:patternFill patternType="solid">
        <x:fgColor rgb="FF2C6DB5"/>
      </x:patternFill>
    </x:fill>
    <x:fill>
      <x:patternFill patternType="solid">
        <x:fgColor rgb="FF16899E"/>
      </x:patternFill>
    </x:fill>
    <x:fill>
      <x:patternFill patternType="solid">
        <x:fgColor rgb="FFC87439"/>
      </x:patternFill>
    </x:fill>
    <x:fill>
      <x:patternFill patternType="solid">
        <x:fgColor rgb="FFF7E4DC"/>
      </x:patternFill>
    </x:fill>
  </x:fills>
  <x:borders count="1">
    <x:border/>
  </x:borders>
  <x:cellStyleXfs count="1">
    <x:xf numFmtId="0" fontId="0" fillId="0" borderId="0"/>
  </x:cellStyleXfs>
  <x:cellXfs count="58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vertical="center" wrapText="1"/>
    </x:xf>
    <x:xf numFmtId="0" fontId="8" fillId="2" borderId="0" xfId="0" applyNumberFormat="1" applyFont="1" applyFill="1" applyBorder="1" applyAlignment="1">
      <x:alignment vertical="center" wrapText="1"/>
    </x:xf>
    <x:xf numFmtId="0" fontId="9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0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0" fontId="10" fillId="6" borderId="0" xfId="0" applyNumberFormat="1" applyFont="1" applyFill="1" applyBorder="1" applyAlignment="1">
      <x:alignment vertical="center" wrapText="1"/>
    </x:xf>
    <x:xf numFmtId="0" fontId="1" fillId="7" borderId="0" xfId="0" applyNumberFormat="1" applyFont="1" applyFill="1" applyBorder="1" applyAlignment="1">
      <x:alignment vertical="center" wrapText="1"/>
    </x:xf>
    <x:xf numFmtId="0" fontId="10" fillId="7" borderId="0" xfId="0" applyNumberFormat="1" applyFont="1" applyFill="1" applyBorder="1" applyAlignment="1">
      <x:alignment vertical="center" wrapText="1"/>
    </x:xf>
    <x:xf numFmtId="0" fontId="1" fillId="8" borderId="0" xfId="0" applyNumberFormat="1" applyFont="1" applyFill="1" applyBorder="1" applyAlignment="1">
      <x:alignment vertical="center" wrapText="1"/>
    </x:xf>
    <x:xf numFmtId="0" fontId="10" fillId="8" borderId="0" xfId="0" applyNumberFormat="1" applyFont="1" applyFill="1" applyBorder="1" applyAlignment="1">
      <x:alignment vertical="center" wrapText="1"/>
    </x:xf>
    <x:xf numFmtId="0" fontId="1" fillId="9" borderId="0" xfId="0" applyNumberFormat="1" applyFont="1" applyFill="1" applyBorder="1" applyAlignment="1">
      <x:alignment vertical="center" wrapText="1"/>
    </x:xf>
    <x:xf numFmtId="0" fontId="10" fillId="9" borderId="0" xfId="0" applyNumberFormat="1" applyFont="1" applyFill="1" applyBorder="1" applyAlignment="1">
      <x:alignment vertical="center" wrapText="1"/>
    </x:xf>
    <x:xf numFmtId="0" fontId="1" fillId="10" borderId="0" xfId="0" applyNumberFormat="1" applyFont="1" applyFill="1" applyBorder="1" applyAlignment="1">
      <x:alignment vertical="center" wrapText="1"/>
    </x:xf>
    <x:xf numFmtId="0" fontId="11" fillId="1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10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horizontal="center" vertical="center" wrapText="1"/>
    </x:xf>
    <x:xf numFmtId="0" fontId="10" fillId="6" borderId="0" xfId="0" applyNumberFormat="1" applyFont="1" applyFill="1" applyBorder="1" applyAlignment="1">
      <x:alignment horizontal="center" vertical="center" wrapText="1"/>
    </x:xf>
    <x:xf numFmtId="0" fontId="10" fillId="7" borderId="0" xfId="0" applyNumberFormat="1" applyFont="1" applyFill="1" applyBorder="1" applyAlignment="1">
      <x:alignment horizontal="center" vertical="center" wrapText="1"/>
    </x:xf>
    <x:xf numFmtId="0" fontId="10" fillId="8" borderId="0" xfId="0" applyNumberFormat="1" applyFont="1" applyFill="1" applyBorder="1" applyAlignment="1">
      <x:alignment horizontal="center" vertical="center" wrapText="1"/>
    </x:xf>
    <x:xf numFmtId="0" fontId="10" fillId="9" borderId="0" xfId="0" applyNumberFormat="1" applyFont="1" applyFill="1" applyBorder="1" applyAlignment="1">
      <x:alignment horizontal="center" vertical="center" wrapText="1"/>
    </x:xf>
    <x:xf numFmtId="200" fontId="1" fillId="2" borderId="0" xfId="0" applyNumberFormat="1" applyFont="1" applyFill="1" applyBorder="1" applyAlignment="1">
      <x:alignment horizontal="center" vertical="center" wrapText="1"/>
    </x:xf>
    <x:xf numFmtId="200" fontId="1" fillId="5" borderId="0" xfId="0" applyNumberFormat="1" applyFont="1" applyFill="1" applyBorder="1" applyAlignment="1">
      <x:alignment horizontal="center" vertical="center" wrapText="1"/>
    </x:xf>
    <x:xf numFmtId="201" fontId="1" fillId="2" borderId="0" xfId="0" applyNumberFormat="1" applyFont="1" applyFill="1" applyBorder="1" applyAlignment="1">
      <x:alignment horizontal="center" vertical="center" wrapText="1"/>
    </x:xf>
    <x:xf numFmtId="201" fontId="1" fillId="5" borderId="0" xfId="0" applyNumberFormat="1" applyFont="1" applyFill="1" applyBorder="1" applyAlignment="1">
      <x:alignment horizontal="center" vertical="center" wrapText="1"/>
    </x:xf>
    <x:xf numFmtId="200" fontId="12" fillId="2" borderId="0" xfId="0" applyNumberFormat="1" applyFont="1" applyFill="1" applyBorder="1" applyAlignment="1">
      <x:alignment horizontal="center" vertical="center" wrapText="1"/>
    </x:xf>
    <x:xf numFmtId="200" fontId="12" fillId="5" borderId="0" xfId="0" applyNumberFormat="1" applyFont="1" applyFill="1" applyBorder="1" applyAlignment="1">
      <x:alignment horizontal="center" vertical="center" wrapText="1"/>
    </x:xf>
    <x:xf numFmtId="0" fontId="13" fillId="3" borderId="0" xfId="0" applyNumberFormat="1" applyFont="1" applyFill="1" applyBorder="1" applyAlignment="1">
      <x:alignment vertical="center" wrapText="1"/>
    </x:xf>
    <x:xf numFmtId="202" fontId="1" fillId="2" borderId="0" xfId="0" applyNumberFormat="1" applyFont="1" applyFill="1" applyBorder="1" applyAlignment="1">
      <x:alignment vertical="center" wrapText="1"/>
    </x:xf>
    <x:xf numFmtId="202" fontId="1" fillId="5" borderId="0" xfId="0" applyNumberFormat="1" applyFont="1" applyFill="1" applyBorder="1" applyAlignment="1">
      <x:alignment vertical="center" wrapText="1"/>
    </x:xf>
    <x:xf numFmtId="0" fontId="14" fillId="2" borderId="0" xfId="0" applyNumberFormat="1" applyFont="1" applyFill="1" applyBorder="1" applyAlignment="1">
      <x:alignment vertical="center" wrapText="1"/>
    </x:xf>
    <x:xf numFmtId="0" fontId="15" fillId="8" borderId="0" xfId="0" applyNumberFormat="1" applyFont="1" applyFill="1" applyBorder="1" applyAlignment="1">
      <x:alignment vertical="center" wrapText="1"/>
    </x:xf>
    <x:xf numFmtId="0" fontId="16" fillId="2" borderId="0" xfId="0" applyNumberFormat="1" applyFont="1" applyFill="1" applyBorder="1" applyAlignment="1">
      <x:alignment vertical="center" wrapText="1"/>
    </x:xf>
    <x:xf numFmtId="0" fontId="17" fillId="2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5" fillId="6" borderId="0" xfId="0" applyNumberFormat="1" applyFont="1" applyFill="1" applyBorder="1" applyAlignment="1">
      <x:alignment vertical="center" wrapText="1"/>
    </x:xf>
    <x:xf numFmtId="0" fontId="15" fillId="4" borderId="0" xfId="0" applyNumberFormat="1" applyFont="1" applyFill="1" applyBorder="1" applyAlignment="1">
      <x:alignment vertical="center" wrapText="1"/>
    </x:xf>
    <x:xf numFmtId="0" fontId="15" fillId="9" borderId="0" xfId="0" applyNumberFormat="1" applyFont="1" applyFill="1" applyBorder="1" applyAlignment="1">
      <x:alignment vertical="center" wrapText="1"/>
    </x:xf>
    <x:xf numFmtId="0" fontId="15" fillId="8" borderId="0" xfId="0" applyNumberFormat="1" applyFont="1" applyFill="1" applyBorder="1" applyAlignment="1">
      <x:alignment horizontal="center" vertical="center" wrapText="1"/>
    </x:xf>
    <x:xf numFmtId="0" fontId="15" fillId="7" borderId="0" xfId="0" applyNumberFormat="1" applyFont="1" applyFill="1" applyBorder="1" applyAlignment="1">
      <x:alignment horizontal="center" vertical="center" wrapText="1"/>
    </x:xf>
    <x:xf numFmtId="0" fontId="15" fillId="6" borderId="0" xfId="0" applyNumberFormat="1" applyFont="1" applyFill="1" applyBorder="1" applyAlignment="1">
      <x:alignment horizontal="center" vertical="center" wrapText="1"/>
    </x:xf>
    <x:xf numFmtId="0" fontId="15" fillId="4" borderId="0" xfId="0" applyNumberFormat="1" applyFont="1" applyFill="1" applyBorder="1" applyAlignment="1">
      <x:alignment horizontal="center" vertical="center" wrapText="1"/>
    </x:xf>
    <x:xf numFmtId="0" fontId="15" fillId="9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3">
    <x:dxf>
      <x:font>
        <x:b/>
        <x:color rgb="FF285E37"/>
      </x:font>
      <x:fill>
        <x:patternFill patternType="solid">
          <x:bgColor rgb="FFDCEEDF"/>
        </x:patternFill>
      </x:fill>
    </x:dxf>
    <x:dxf>
      <x:font>
        <x:b/>
        <x:color rgb="FF286B51"/>
      </x:font>
      <x:fill>
        <x:patternFill patternType="solid">
          <x:bgColor rgb="FFDFF1E9"/>
        </x:patternFill>
      </x:fill>
    </x:dxf>
    <x:dxf>
      <x:font>
        <x:color rgb="FF8F562A"/>
      </x:font>
      <x:fill>
        <x:patternFill patternType="solid">
          <x:bgColor rgb="FFF9E8D0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9d6f9cda104278" /><Relationship Type="http://schemas.openxmlformats.org/officeDocument/2006/relationships/theme" Target="/xl/theme/theme1.xml" Id="R0ff46b3f8c3f49e0" /><Relationship Type="http://schemas.openxmlformats.org/officeDocument/2006/relationships/sharedStrings" Target="/xl/sharedStrings.xml" Id="Rc9e00f18de844b5f" /><Relationship Type="http://schemas.openxmlformats.org/officeDocument/2006/relationships/worksheet" Target="/xl/worksheets/sheet1.xml" Id="R3a14a4503e2b4854" /><Relationship Type="http://schemas.openxmlformats.org/officeDocument/2006/relationships/worksheet" Target="/xl/worksheets/sheet2.xml" Id="Reebe5c566347440e" /><Relationship Type="http://schemas.openxmlformats.org/officeDocument/2006/relationships/worksheet" Target="/xl/worksheets/sheet3.xml" Id="R056c57afcc42431d" /><Relationship Type="http://schemas.openxmlformats.org/officeDocument/2006/relationships/worksheet" Target="/xl/worksheets/sheet4.xml" Id="Rc9226a5b10c44776" /><Relationship Type="http://schemas.openxmlformats.org/officeDocument/2006/relationships/worksheet" Target="/xl/worksheets/sheet5.xml" Id="R3c550cfd30274d8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jpg" Id="R714756d09a014da2" /><Relationship Type="http://schemas.openxmlformats.org/officeDocument/2006/relationships/image" Target="/xl/media/image2.jpg" Id="R024a8dcd60d445b8" /><Relationship Type="http://schemas.openxmlformats.org/officeDocument/2006/relationships/image" Target="/xl/media/image3.jpg" Id="R3cc6cd1164af4395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.png" Id="R9c9baf49f2c14e8e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4.jpg" Id="R667f291cd14b484d" /><Relationship Type="http://schemas.openxmlformats.org/officeDocument/2006/relationships/image" Target="/xl/media/image5.jpg" Id="R4340930514614b0f" /><Relationship Type="http://schemas.openxmlformats.org/officeDocument/2006/relationships/image" Target="/xl/media/image6.jpg" Id="R90aeb4d167b74a73" /><Relationship Type="http://schemas.openxmlformats.org/officeDocument/2006/relationships/image" Target="/xl/media/image7.jpg" Id="R5bdd61d049494770" /><Relationship Type="http://schemas.openxmlformats.org/officeDocument/2006/relationships/image" Target="/xl/media/image8.jpg" Id="R4cbc37357df64ca3" /><Relationship Type="http://schemas.openxmlformats.org/officeDocument/2006/relationships/image" Target="/xl/media/image9.jpg" Id="R43241b1992b5499e" /><Relationship Type="http://schemas.openxmlformats.org/officeDocument/2006/relationships/image" Target="/xl/media/image10.jpg" Id="R1273621c35d94314" /><Relationship Type="http://schemas.openxmlformats.org/officeDocument/2006/relationships/image" Target="/xl/media/image11.jpg" Id="R0862c51c693b4a4a" /><Relationship Type="http://schemas.openxmlformats.org/officeDocument/2006/relationships/image" Target="/xl/media/image12.jpg" Id="Reb2281800fba4c1b" /><Relationship Type="http://schemas.openxmlformats.org/officeDocument/2006/relationships/image" Target="/xl/media/image13.jpg" Id="Rf48992e50ca44e02" /><Relationship Type="http://schemas.openxmlformats.org/officeDocument/2006/relationships/image" Target="/xl/media/image14.jpg" Id="R82d3517a1cfd40f7" /><Relationship Type="http://schemas.openxmlformats.org/officeDocument/2006/relationships/image" Target="/xl/media/image15.jpg" Id="R19fdc34a25504a70" /><Relationship Type="http://schemas.openxmlformats.org/officeDocument/2006/relationships/image" Target="/xl/media/image16.jpg" Id="R6b7b8d8751ac47c3" /><Relationship Type="http://schemas.openxmlformats.org/officeDocument/2006/relationships/image" Target="/xl/media/image17.jpg" Id="R427659ca8ebd4e1d" /><Relationship Type="http://schemas.openxmlformats.org/officeDocument/2006/relationships/image" Target="/xl/media/image18.jpg" Id="R103d1a61b7dd42dc" /><Relationship Type="http://schemas.openxmlformats.org/officeDocument/2006/relationships/image" Target="/xl/media/image19.jpg" Id="Rbc1086f6fd764792" /><Relationship Type="http://schemas.openxmlformats.org/officeDocument/2006/relationships/image" Target="/xl/media/image20.jpg" Id="Rfe39a640dc874d93" /><Relationship Type="http://schemas.openxmlformats.org/officeDocument/2006/relationships/image" Target="/xl/media/image21.jpg" Id="R8654829e514d4aa8" /><Relationship Type="http://schemas.openxmlformats.org/officeDocument/2006/relationships/image" Target="/xl/media/image22.jpg" Id="R09431c76e3be49ad" /><Relationship Type="http://schemas.openxmlformats.org/officeDocument/2006/relationships/image" Target="/xl/media/image23.jpg" Id="R86e5518e98624de3" /><Relationship Type="http://schemas.openxmlformats.org/officeDocument/2006/relationships/image" Target="/xl/media/image24.jpg" Id="Ra0adcd63b06a4ba1" /><Relationship Type="http://schemas.openxmlformats.org/officeDocument/2006/relationships/image" Target="/xl/media/image25.jpg" Id="R650e754b860841a5" /><Relationship Type="http://schemas.openxmlformats.org/officeDocument/2006/relationships/image" Target="/xl/media/image26.jpg" Id="Re2613cf77d1d48fa" /><Relationship Type="http://schemas.openxmlformats.org/officeDocument/2006/relationships/image" Target="/xl/media/image27.jpg" Id="R0da09bba5e994cbd" /><Relationship Type="http://schemas.openxmlformats.org/officeDocument/2006/relationships/image" Target="/xl/media/image28.jpg" Id="Rb3b0e39cf97c44fa" /><Relationship Type="http://schemas.openxmlformats.org/officeDocument/2006/relationships/image" Target="/xl/media/image29.jpg" Id="R0f3d9f5b7dc8458e" /><Relationship Type="http://schemas.openxmlformats.org/officeDocument/2006/relationships/image" Target="/xl/media/image30.jpg" Id="Re2a34453194745c2" /><Relationship Type="http://schemas.openxmlformats.org/officeDocument/2006/relationships/image" Target="/xl/media/image31.jpg" Id="Rc443394d47a7478a" /><Relationship Type="http://schemas.openxmlformats.org/officeDocument/2006/relationships/image" Target="/xl/media/image32.jpg" Id="Rda77daa80a514cdd" /><Relationship Type="http://schemas.openxmlformats.org/officeDocument/2006/relationships/image" Target="/xl/media/image33.jpg" Id="R9efb6c4554374b8f" /><Relationship Type="http://schemas.openxmlformats.org/officeDocument/2006/relationships/image" Target="/xl/media/image34.jpg" Id="Rd850bd49aa8f405f" /><Relationship Type="http://schemas.openxmlformats.org/officeDocument/2006/relationships/image" Target="/xl/media/image35.jpg" Id="Rebbc4df6c01a4834" /><Relationship Type="http://schemas.openxmlformats.org/officeDocument/2006/relationships/image" Target="/xl/media/image36.jpg" Id="R3a934e328ef8458f" /><Relationship Type="http://schemas.openxmlformats.org/officeDocument/2006/relationships/image" Target="/xl/media/image37.jpg" Id="R0a241f2d08234f00" /><Relationship Type="http://schemas.openxmlformats.org/officeDocument/2006/relationships/image" Target="/xl/media/image38.jpg" Id="R040f378b684444da" /><Relationship Type="http://schemas.openxmlformats.org/officeDocument/2006/relationships/image" Target="/xl/media/image39.jpg" Id="Rf6e949b1d83a4b5c" /><Relationship Type="http://schemas.openxmlformats.org/officeDocument/2006/relationships/image" Target="/xl/media/image40.jpg" Id="R3bde9995ae7543ba" /><Relationship Type="http://schemas.openxmlformats.org/officeDocument/2006/relationships/image" Target="/xl/media/image41.jpg" Id="Rf3e9f2d6221743a5" /><Relationship Type="http://schemas.openxmlformats.org/officeDocument/2006/relationships/image" Target="/xl/media/image42.jpg" Id="Ra92e57caabe24a5f" /><Relationship Type="http://schemas.openxmlformats.org/officeDocument/2006/relationships/image" Target="/xl/media/image43.jpg" Id="R45c4ef2d554848e9" /><Relationship Type="http://schemas.openxmlformats.org/officeDocument/2006/relationships/image" Target="/xl/media/image44.jpg" Id="Rfda66bc48c184eea" /><Relationship Type="http://schemas.openxmlformats.org/officeDocument/2006/relationships/image" Target="/xl/media/image45.jpg" Id="Rc8ca42a318784cfe" /><Relationship Type="http://schemas.openxmlformats.org/officeDocument/2006/relationships/image" Target="/xl/media/image46.jpg" Id="R56f4a7110341422a" /><Relationship Type="http://schemas.openxmlformats.org/officeDocument/2006/relationships/image" Target="/xl/media/image47.jpg" Id="Rfa018a4d606845d1" /><Relationship Type="http://schemas.openxmlformats.org/officeDocument/2006/relationships/image" Target="/xl/media/image48.jpg" Id="Raf6348faecf1492e" /><Relationship Type="http://schemas.openxmlformats.org/officeDocument/2006/relationships/image" Target="/xl/media/image49.jpg" Id="R53c73f94368a4a23" /><Relationship Type="http://schemas.openxmlformats.org/officeDocument/2006/relationships/image" Target="/xl/media/image50.jpg" Id="R423e2d4f49f64a37" /><Relationship Type="http://schemas.openxmlformats.org/officeDocument/2006/relationships/image" Target="/xl/media/image51.jpg" Id="R6387c82564464f2d" /><Relationship Type="http://schemas.openxmlformats.org/officeDocument/2006/relationships/image" Target="/xl/media/image52.jpg" Id="Re8b5148dc2c64ae8" /><Relationship Type="http://schemas.openxmlformats.org/officeDocument/2006/relationships/image" Target="/xl/media/image53.jpg" Id="Rca1dd6d237a04fbf" /><Relationship Type="http://schemas.openxmlformats.org/officeDocument/2006/relationships/image" Target="/xl/media/image54.jpg" Id="R12ccfd8c9f664cd8" /><Relationship Type="http://schemas.openxmlformats.org/officeDocument/2006/relationships/image" Target="/xl/media/image55.jpg" Id="Redc501a57a564d0d" /><Relationship Type="http://schemas.openxmlformats.org/officeDocument/2006/relationships/image" Target="/xl/media/image56.jpg" Id="R728bb728c7ba4078" /><Relationship Type="http://schemas.openxmlformats.org/officeDocument/2006/relationships/image" Target="/xl/media/image57.jpg" Id="Rc39ba5828e0c43b7" /><Relationship Type="http://schemas.openxmlformats.org/officeDocument/2006/relationships/image" Target="/xl/media/image58.jpg" Id="R1be104d5f6044a97" /><Relationship Type="http://schemas.openxmlformats.org/officeDocument/2006/relationships/image" Target="/xl/media/image59.jpg" Id="Rf4304a4868094634" /><Relationship Type="http://schemas.openxmlformats.org/officeDocument/2006/relationships/image" Target="/xl/media/image60.jpg" Id="R2c2a11117598470f" /><Relationship Type="http://schemas.openxmlformats.org/officeDocument/2006/relationships/image" Target="/xl/media/image61.jpg" Id="R86878b1aac814c36" /><Relationship Type="http://schemas.openxmlformats.org/officeDocument/2006/relationships/image" Target="/xl/media/image62.jpg" Id="R2ceaeb9277f5438f" /><Relationship Type="http://schemas.openxmlformats.org/officeDocument/2006/relationships/image" Target="/xl/media/image63.jpg" Id="Ra0a3b293dc7d47a6" /><Relationship Type="http://schemas.openxmlformats.org/officeDocument/2006/relationships/image" Target="/xl/media/image64.jpg" Id="Rcb479cef3106408d" /><Relationship Type="http://schemas.openxmlformats.org/officeDocument/2006/relationships/image" Target="/xl/media/image65.jpg" Id="R21e1b63b4a654f3e" /><Relationship Type="http://schemas.openxmlformats.org/officeDocument/2006/relationships/image" Target="/xl/media/image66.jpg" Id="Rba68777a3bee4518" /><Relationship Type="http://schemas.openxmlformats.org/officeDocument/2006/relationships/image" Target="/xl/media/image67.jpg" Id="Rb34cf14a80214afa" /><Relationship Type="http://schemas.openxmlformats.org/officeDocument/2006/relationships/image" Target="/xl/media/image68.jpg" Id="Ra19cdd99bbcc4297" /><Relationship Type="http://schemas.openxmlformats.org/officeDocument/2006/relationships/image" Target="/xl/media/image69.jpg" Id="R0ac3f17848b94965" /><Relationship Type="http://schemas.openxmlformats.org/officeDocument/2006/relationships/image" Target="/xl/media/image70.jpg" Id="R61492438f31d4177" /><Relationship Type="http://schemas.openxmlformats.org/officeDocument/2006/relationships/image" Target="/xl/media/image71.jpg" Id="R1d0a5f302e1a4209" /><Relationship Type="http://schemas.openxmlformats.org/officeDocument/2006/relationships/image" Target="/xl/media/image72.jpg" Id="R886c3f3aab124f02" /><Relationship Type="http://schemas.openxmlformats.org/officeDocument/2006/relationships/image" Target="/xl/media/image73.jpg" Id="Ra80e7205910e4e12" /><Relationship Type="http://schemas.openxmlformats.org/officeDocument/2006/relationships/image" Target="/xl/media/image74.jpg" Id="Rfa6062bc893e405e" /><Relationship Type="http://schemas.openxmlformats.org/officeDocument/2006/relationships/image" Target="/xl/media/image75.jpg" Id="R26739950edbe49cb" /><Relationship Type="http://schemas.openxmlformats.org/officeDocument/2006/relationships/image" Target="/xl/media/image76.jpg" Id="R61ef64a2ea9a4b2a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/xl/media/image2.png" Id="Rea48671ac203442d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7</xdr:row>
      <xdr:rowOff>0</xdr:rowOff>
    </xdr:from>
    <xdr:ext cx="3238500" cy="2019300"/>
    <xdr:pic>
      <xdr:nvPicPr>
        <xdr:cNvPr id="1" name="dc02043a-ee96-40eb-8f4a-9ebc547de4f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14756d09a014da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0</xdr:colOff>
      <xdr:row>7</xdr:row>
      <xdr:rowOff>0</xdr:rowOff>
    </xdr:from>
    <xdr:ext cx="3238500" cy="2019300"/>
    <xdr:pic>
      <xdr:nvPicPr>
        <xdr:cNvPr id="2" name="9c9f3ead-4a6e-4b95-aca9-6eaddbaed92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24a8dcd60d445b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10</xdr:col>
      <xdr:colOff>0</xdr:colOff>
      <xdr:row>7</xdr:row>
      <xdr:rowOff>0</xdr:rowOff>
    </xdr:from>
    <xdr:ext cx="3238500" cy="2019300"/>
    <xdr:pic>
      <xdr:nvPicPr>
        <xdr:cNvPr id="3" name="5b483b40-b6f2-4aeb-8905-3df2b5fa576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cc6cd1164af439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0</xdr:col>
      <xdr:colOff>0</xdr:colOff>
      <xdr:row>88</xdr:row>
      <xdr:rowOff>0</xdr:rowOff>
    </xdr:from>
    <xdr:ext cx="14287500" cy="12696825"/>
    <xdr:pic>
      <xdr:nvPicPr>
        <xdr:cNvPr id="1" name="6b2603a8-6afd-4ea7-9615-322c6635079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c9baf49f2c14e8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0</xdr:col>
      <xdr:colOff>0</xdr:colOff>
      <xdr:row>8</xdr:row>
      <xdr:rowOff>0</xdr:rowOff>
    </xdr:from>
    <xdr:ext cx="3238500" cy="1828800"/>
    <xdr:pic>
      <xdr:nvPicPr>
        <xdr:cNvPr id="1" name="322229e0-b7b6-4929-8dcd-fa769ff5482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67f291cd14b484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0</xdr:colOff>
      <xdr:row>8</xdr:row>
      <xdr:rowOff>0</xdr:rowOff>
    </xdr:from>
    <xdr:ext cx="3238500" cy="1828800"/>
    <xdr:pic>
      <xdr:nvPicPr>
        <xdr:cNvPr id="2" name="b45eb704-050f-4e24-af73-b387e6a06ba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340930514614b0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10</xdr:col>
      <xdr:colOff>0</xdr:colOff>
      <xdr:row>8</xdr:row>
      <xdr:rowOff>0</xdr:rowOff>
    </xdr:from>
    <xdr:ext cx="3238500" cy="1828800"/>
    <xdr:pic>
      <xdr:nvPicPr>
        <xdr:cNvPr id="3" name="638cafe4-79f1-4040-a918-7b1569c2a54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0aeb4d167b74a7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22</xdr:row>
      <xdr:rowOff>0</xdr:rowOff>
    </xdr:from>
    <xdr:ext cx="3238500" cy="1828800"/>
    <xdr:pic>
      <xdr:nvPicPr>
        <xdr:cNvPr id="4" name="9bdd80e5-1aac-4cda-af00-fa045b3bb74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bdd61d04949477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0</xdr:colOff>
      <xdr:row>22</xdr:row>
      <xdr:rowOff>0</xdr:rowOff>
    </xdr:from>
    <xdr:ext cx="3238500" cy="1828800"/>
    <xdr:pic>
      <xdr:nvPicPr>
        <xdr:cNvPr id="5" name="de03f21e-8ece-4252-958b-29317fc958d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cbc37357df64ca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10</xdr:col>
      <xdr:colOff>0</xdr:colOff>
      <xdr:row>22</xdr:row>
      <xdr:rowOff>0</xdr:rowOff>
    </xdr:from>
    <xdr:ext cx="3238500" cy="1828800"/>
    <xdr:pic>
      <xdr:nvPicPr>
        <xdr:cNvPr id="6" name="9215e309-aad5-43e0-9e6e-3ccbdc3b462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3241b1992b5499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36</xdr:row>
      <xdr:rowOff>0</xdr:rowOff>
    </xdr:from>
    <xdr:ext cx="3238500" cy="1828800"/>
    <xdr:pic>
      <xdr:nvPicPr>
        <xdr:cNvPr id="7" name="cad9fbc6-db99-4fbc-8d46-e5b0cc08bd7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273621c35d9431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0</xdr:colOff>
      <xdr:row>36</xdr:row>
      <xdr:rowOff>0</xdr:rowOff>
    </xdr:from>
    <xdr:ext cx="3238500" cy="1828800"/>
    <xdr:pic>
      <xdr:nvPicPr>
        <xdr:cNvPr id="8" name="7ce07a45-c5b8-4ea5-94e3-39c4a6dcff7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862c51c693b4a4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10</xdr:col>
      <xdr:colOff>0</xdr:colOff>
      <xdr:row>36</xdr:row>
      <xdr:rowOff>0</xdr:rowOff>
    </xdr:from>
    <xdr:ext cx="3238500" cy="1828800"/>
    <xdr:pic>
      <xdr:nvPicPr>
        <xdr:cNvPr id="9" name="45a34c57-48f8-4c00-8469-3c0fe6185ed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b2281800fba4c1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50</xdr:row>
      <xdr:rowOff>0</xdr:rowOff>
    </xdr:from>
    <xdr:ext cx="3238500" cy="1828800"/>
    <xdr:pic>
      <xdr:nvPicPr>
        <xdr:cNvPr id="10" name="5466b260-f054-48f0-8fd7-8679df63dad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48992e50ca44e0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0</xdr:colOff>
      <xdr:row>50</xdr:row>
      <xdr:rowOff>0</xdr:rowOff>
    </xdr:from>
    <xdr:ext cx="3238500" cy="1828800"/>
    <xdr:pic>
      <xdr:nvPicPr>
        <xdr:cNvPr id="11" name="55385108-b327-4089-9b93-9936d9d6a35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2d3517a1cfd40f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10</xdr:col>
      <xdr:colOff>0</xdr:colOff>
      <xdr:row>50</xdr:row>
      <xdr:rowOff>0</xdr:rowOff>
    </xdr:from>
    <xdr:ext cx="3238500" cy="1828800"/>
    <xdr:pic>
      <xdr:nvPicPr>
        <xdr:cNvPr id="12" name="1430077c-3a2f-42ce-9b3e-26b4d5e6fb0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9fdc34a25504a7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64</xdr:row>
      <xdr:rowOff>0</xdr:rowOff>
    </xdr:from>
    <xdr:ext cx="3238500" cy="1828800"/>
    <xdr:pic>
      <xdr:nvPicPr>
        <xdr:cNvPr id="13" name="a85de1cb-1d8e-4a0f-a499-da0d61e6fa7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b7b8d8751ac47c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0</xdr:colOff>
      <xdr:row>64</xdr:row>
      <xdr:rowOff>0</xdr:rowOff>
    </xdr:from>
    <xdr:ext cx="3238500" cy="1828800"/>
    <xdr:pic>
      <xdr:nvPicPr>
        <xdr:cNvPr id="14" name="abd81021-75c9-454c-8f7e-42c304bc00f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27659ca8ebd4e1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10</xdr:col>
      <xdr:colOff>0</xdr:colOff>
      <xdr:row>64</xdr:row>
      <xdr:rowOff>0</xdr:rowOff>
    </xdr:from>
    <xdr:ext cx="3238500" cy="1828800"/>
    <xdr:pic>
      <xdr:nvPicPr>
        <xdr:cNvPr id="15" name="63d52d98-f857-423b-84e9-fecd1158811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03d1a61b7dd42d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78</xdr:row>
      <xdr:rowOff>0</xdr:rowOff>
    </xdr:from>
    <xdr:ext cx="3238500" cy="1828800"/>
    <xdr:pic>
      <xdr:nvPicPr>
        <xdr:cNvPr id="16" name="09b23f4e-5bc4-4023-b4e7-72668635891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c1086f6fd76479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0</xdr:colOff>
      <xdr:row>78</xdr:row>
      <xdr:rowOff>0</xdr:rowOff>
    </xdr:from>
    <xdr:ext cx="3238500" cy="1828800"/>
    <xdr:pic>
      <xdr:nvPicPr>
        <xdr:cNvPr id="17" name="a4caf888-2bd9-488c-9bf7-014a4a507cb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e39a640dc874d9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10</xdr:col>
      <xdr:colOff>0</xdr:colOff>
      <xdr:row>78</xdr:row>
      <xdr:rowOff>0</xdr:rowOff>
    </xdr:from>
    <xdr:ext cx="3238500" cy="1828800"/>
    <xdr:pic>
      <xdr:nvPicPr>
        <xdr:cNvPr id="18" name="1533d933-688d-4e7c-a337-3a8866d9e68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654829e514d4aa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92</xdr:row>
      <xdr:rowOff>0</xdr:rowOff>
    </xdr:from>
    <xdr:ext cx="3238500" cy="1828800"/>
    <xdr:pic>
      <xdr:nvPicPr>
        <xdr:cNvPr id="19" name="6255b13e-0b55-4f9d-9e0c-b0c0528b7c0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9431c76e3be49a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0</xdr:colOff>
      <xdr:row>92</xdr:row>
      <xdr:rowOff>0</xdr:rowOff>
    </xdr:from>
    <xdr:ext cx="3238500" cy="1828800"/>
    <xdr:pic>
      <xdr:nvPicPr>
        <xdr:cNvPr id="20" name="718823e3-fcfd-4a8c-a4f5-c7c2831aa52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6e5518e98624de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10</xdr:col>
      <xdr:colOff>0</xdr:colOff>
      <xdr:row>92</xdr:row>
      <xdr:rowOff>0</xdr:rowOff>
    </xdr:from>
    <xdr:ext cx="3238500" cy="1828800"/>
    <xdr:pic>
      <xdr:nvPicPr>
        <xdr:cNvPr id="21" name="0645ff95-3219-47ed-bc78-a140705f55d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0adcd63b06a4ba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106</xdr:row>
      <xdr:rowOff>0</xdr:rowOff>
    </xdr:from>
    <xdr:ext cx="3238500" cy="1828800"/>
    <xdr:pic>
      <xdr:nvPicPr>
        <xdr:cNvPr id="22" name="8de1fdff-e998-4cec-898c-9187e16611d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50e754b860841a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0</xdr:colOff>
      <xdr:row>106</xdr:row>
      <xdr:rowOff>0</xdr:rowOff>
    </xdr:from>
    <xdr:ext cx="3238500" cy="1828800"/>
    <xdr:pic>
      <xdr:nvPicPr>
        <xdr:cNvPr id="23" name="fa328c6b-dc81-4b67-97c5-7e1ce5177f9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2613cf77d1d48f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10</xdr:col>
      <xdr:colOff>0</xdr:colOff>
      <xdr:row>106</xdr:row>
      <xdr:rowOff>0</xdr:rowOff>
    </xdr:from>
    <xdr:ext cx="3238500" cy="1828800"/>
    <xdr:pic>
      <xdr:nvPicPr>
        <xdr:cNvPr id="24" name="33ad904f-2bab-4ec3-bbea-9a219fcd9d8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da09bba5e994cb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120</xdr:row>
      <xdr:rowOff>0</xdr:rowOff>
    </xdr:from>
    <xdr:ext cx="3238500" cy="1828800"/>
    <xdr:pic>
      <xdr:nvPicPr>
        <xdr:cNvPr id="25" name="e6ed67c8-2e02-4d3a-bcfd-9f4ad0dbcb3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3b0e39cf97c44f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0</xdr:colOff>
      <xdr:row>120</xdr:row>
      <xdr:rowOff>0</xdr:rowOff>
    </xdr:from>
    <xdr:ext cx="3238500" cy="1828800"/>
    <xdr:pic>
      <xdr:nvPicPr>
        <xdr:cNvPr id="26" name="36564ec2-be35-42d1-9de8-948dbba61ca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f3d9f5b7dc8458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10</xdr:col>
      <xdr:colOff>0</xdr:colOff>
      <xdr:row>120</xdr:row>
      <xdr:rowOff>0</xdr:rowOff>
    </xdr:from>
    <xdr:ext cx="3238500" cy="1828800"/>
    <xdr:pic>
      <xdr:nvPicPr>
        <xdr:cNvPr id="27" name="424bad7a-f320-4c4a-86f2-181c99ac8c8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2a34453194745c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134</xdr:row>
      <xdr:rowOff>0</xdr:rowOff>
    </xdr:from>
    <xdr:ext cx="3238500" cy="1828800"/>
    <xdr:pic>
      <xdr:nvPicPr>
        <xdr:cNvPr id="28" name="0497ccaf-180a-4820-9964-d946c739c67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443394d47a7478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0</xdr:colOff>
      <xdr:row>134</xdr:row>
      <xdr:rowOff>0</xdr:rowOff>
    </xdr:from>
    <xdr:ext cx="3238500" cy="1828800"/>
    <xdr:pic>
      <xdr:nvPicPr>
        <xdr:cNvPr id="29" name="87e3c995-6a60-4ea0-8506-06f04552f2d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a77daa80a514cd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10</xdr:col>
      <xdr:colOff>0</xdr:colOff>
      <xdr:row>134</xdr:row>
      <xdr:rowOff>0</xdr:rowOff>
    </xdr:from>
    <xdr:ext cx="3238500" cy="1828800"/>
    <xdr:pic>
      <xdr:nvPicPr>
        <xdr:cNvPr id="30" name="ef3611d3-5136-46b3-99f0-7b6e9200caf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efb6c4554374b8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148</xdr:row>
      <xdr:rowOff>0</xdr:rowOff>
    </xdr:from>
    <xdr:ext cx="3238500" cy="1828800"/>
    <xdr:pic>
      <xdr:nvPicPr>
        <xdr:cNvPr id="31" name="735b36a3-0c78-447b-8420-ea2f3ba11e2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850bd49aa8f405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0</xdr:colOff>
      <xdr:row>148</xdr:row>
      <xdr:rowOff>0</xdr:rowOff>
    </xdr:from>
    <xdr:ext cx="3238500" cy="1828800"/>
    <xdr:pic>
      <xdr:nvPicPr>
        <xdr:cNvPr id="32" name="ffc1a780-f86e-4982-879d-6a452f5b7f6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bbc4df6c01a483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10</xdr:col>
      <xdr:colOff>0</xdr:colOff>
      <xdr:row>148</xdr:row>
      <xdr:rowOff>0</xdr:rowOff>
    </xdr:from>
    <xdr:ext cx="3238500" cy="1828800"/>
    <xdr:pic>
      <xdr:nvPicPr>
        <xdr:cNvPr id="33" name="eb82bf6c-afab-4846-b11a-6f62c12e955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a934e328ef8458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162</xdr:row>
      <xdr:rowOff>0</xdr:rowOff>
    </xdr:from>
    <xdr:ext cx="3238500" cy="1828800"/>
    <xdr:pic>
      <xdr:nvPicPr>
        <xdr:cNvPr id="34" name="348f6c3a-1678-4f61-942c-0f753756e3b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a241f2d08234f0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0</xdr:colOff>
      <xdr:row>162</xdr:row>
      <xdr:rowOff>0</xdr:rowOff>
    </xdr:from>
    <xdr:ext cx="3238500" cy="1828800"/>
    <xdr:pic>
      <xdr:nvPicPr>
        <xdr:cNvPr id="35" name="702b134c-3663-4b59-aa94-fa03c1dce3b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40f378b684444d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10</xdr:col>
      <xdr:colOff>0</xdr:colOff>
      <xdr:row>162</xdr:row>
      <xdr:rowOff>0</xdr:rowOff>
    </xdr:from>
    <xdr:ext cx="3238500" cy="1828800"/>
    <xdr:pic>
      <xdr:nvPicPr>
        <xdr:cNvPr id="36" name="9f3f6b8c-b975-4883-819f-32b583be9c4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6e949b1d83a4b5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176</xdr:row>
      <xdr:rowOff>0</xdr:rowOff>
    </xdr:from>
    <xdr:ext cx="3238500" cy="1828800"/>
    <xdr:pic>
      <xdr:nvPicPr>
        <xdr:cNvPr id="37" name="eb9cbd25-45f7-4d03-becc-5f4a4ac088c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bde9995ae7543b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0</xdr:colOff>
      <xdr:row>176</xdr:row>
      <xdr:rowOff>0</xdr:rowOff>
    </xdr:from>
    <xdr:ext cx="3238500" cy="1828800"/>
    <xdr:pic>
      <xdr:nvPicPr>
        <xdr:cNvPr id="38" name="f7715c30-5514-4d13-95bb-3c251c00d48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3e9f2d6221743a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10</xdr:col>
      <xdr:colOff>0</xdr:colOff>
      <xdr:row>176</xdr:row>
      <xdr:rowOff>0</xdr:rowOff>
    </xdr:from>
    <xdr:ext cx="3238500" cy="1828800"/>
    <xdr:pic>
      <xdr:nvPicPr>
        <xdr:cNvPr id="39" name="c90d3e61-e31c-4a1a-8c5e-5f028e26dab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92e57caabe24a5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190</xdr:row>
      <xdr:rowOff>0</xdr:rowOff>
    </xdr:from>
    <xdr:ext cx="3238500" cy="1828800"/>
    <xdr:pic>
      <xdr:nvPicPr>
        <xdr:cNvPr id="40" name="83ac65fe-5213-4400-8264-0cc957e6dcc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5c4ef2d554848e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0</xdr:colOff>
      <xdr:row>190</xdr:row>
      <xdr:rowOff>0</xdr:rowOff>
    </xdr:from>
    <xdr:ext cx="3238500" cy="1828800"/>
    <xdr:pic>
      <xdr:nvPicPr>
        <xdr:cNvPr id="41" name="163d81e7-c5c0-4e96-87a4-135f3ec0fce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da66bc48c184ee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10</xdr:col>
      <xdr:colOff>0</xdr:colOff>
      <xdr:row>190</xdr:row>
      <xdr:rowOff>0</xdr:rowOff>
    </xdr:from>
    <xdr:ext cx="3238500" cy="1828800"/>
    <xdr:pic>
      <xdr:nvPicPr>
        <xdr:cNvPr id="42" name="d31c814b-a91b-4b4b-a59d-b776e4f5096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8ca42a318784cf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204</xdr:row>
      <xdr:rowOff>0</xdr:rowOff>
    </xdr:from>
    <xdr:ext cx="3238500" cy="1828800"/>
    <xdr:pic>
      <xdr:nvPicPr>
        <xdr:cNvPr id="43" name="35b900ca-532f-41aa-8917-ed855e27150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6f4a7110341422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0</xdr:colOff>
      <xdr:row>204</xdr:row>
      <xdr:rowOff>0</xdr:rowOff>
    </xdr:from>
    <xdr:ext cx="3238500" cy="1828800"/>
    <xdr:pic>
      <xdr:nvPicPr>
        <xdr:cNvPr id="44" name="01ff8cb0-f1a0-4e45-ba9d-0f0c13df6f2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a018a4d606845d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10</xdr:col>
      <xdr:colOff>0</xdr:colOff>
      <xdr:row>204</xdr:row>
      <xdr:rowOff>0</xdr:rowOff>
    </xdr:from>
    <xdr:ext cx="3238500" cy="1828800"/>
    <xdr:pic>
      <xdr:nvPicPr>
        <xdr:cNvPr id="45" name="5f9444b2-4a8a-4995-ab9e-02d863c11d4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f6348faecf1492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218</xdr:row>
      <xdr:rowOff>0</xdr:rowOff>
    </xdr:from>
    <xdr:ext cx="3238500" cy="1828800"/>
    <xdr:pic>
      <xdr:nvPicPr>
        <xdr:cNvPr id="46" name="60a8d0aa-0857-43c3-8d65-905316a7070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3c73f94368a4a2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0</xdr:colOff>
      <xdr:row>218</xdr:row>
      <xdr:rowOff>0</xdr:rowOff>
    </xdr:from>
    <xdr:ext cx="3238500" cy="1828800"/>
    <xdr:pic>
      <xdr:nvPicPr>
        <xdr:cNvPr id="47" name="b55b26dd-9bdd-43a1-a3fa-7a67f107611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23e2d4f49f64a3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10</xdr:col>
      <xdr:colOff>0</xdr:colOff>
      <xdr:row>218</xdr:row>
      <xdr:rowOff>0</xdr:rowOff>
    </xdr:from>
    <xdr:ext cx="3238500" cy="1828800"/>
    <xdr:pic>
      <xdr:nvPicPr>
        <xdr:cNvPr id="48" name="586930d7-a4dd-48dd-b811-27e12e2c849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387c82564464f2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232</xdr:row>
      <xdr:rowOff>0</xdr:rowOff>
    </xdr:from>
    <xdr:ext cx="3238500" cy="1828800"/>
    <xdr:pic>
      <xdr:nvPicPr>
        <xdr:cNvPr id="49" name="cbe5085e-3938-4f17-bbf1-c37dda30dbc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8b5148dc2c64ae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0</xdr:colOff>
      <xdr:row>232</xdr:row>
      <xdr:rowOff>0</xdr:rowOff>
    </xdr:from>
    <xdr:ext cx="3238500" cy="1828800"/>
    <xdr:pic>
      <xdr:nvPicPr>
        <xdr:cNvPr id="50" name="cb3568a6-6df0-4e74-ba62-c010a3106b2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a1dd6d237a04fb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10</xdr:col>
      <xdr:colOff>0</xdr:colOff>
      <xdr:row>232</xdr:row>
      <xdr:rowOff>0</xdr:rowOff>
    </xdr:from>
    <xdr:ext cx="3238500" cy="1828800"/>
    <xdr:pic>
      <xdr:nvPicPr>
        <xdr:cNvPr id="51" name="f720b8de-eead-466e-8bc7-2ad1b922723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2ccfd8c9f664cd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246</xdr:row>
      <xdr:rowOff>0</xdr:rowOff>
    </xdr:from>
    <xdr:ext cx="3238500" cy="1828800"/>
    <xdr:pic>
      <xdr:nvPicPr>
        <xdr:cNvPr id="52" name="f532511b-eac7-4c5e-a1d5-37ab1f62ba4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dc501a57a564d0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0</xdr:colOff>
      <xdr:row>246</xdr:row>
      <xdr:rowOff>0</xdr:rowOff>
    </xdr:from>
    <xdr:ext cx="3238500" cy="1828800"/>
    <xdr:pic>
      <xdr:nvPicPr>
        <xdr:cNvPr id="53" name="f858dc89-12c8-46d5-8105-5736ed0956c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28bb728c7ba407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10</xdr:col>
      <xdr:colOff>0</xdr:colOff>
      <xdr:row>246</xdr:row>
      <xdr:rowOff>0</xdr:rowOff>
    </xdr:from>
    <xdr:ext cx="3238500" cy="1828800"/>
    <xdr:pic>
      <xdr:nvPicPr>
        <xdr:cNvPr id="54" name="5cca96c4-272f-4e11-b63e-e4efffee6bd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39ba5828e0c43b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260</xdr:row>
      <xdr:rowOff>0</xdr:rowOff>
    </xdr:from>
    <xdr:ext cx="3238500" cy="1828800"/>
    <xdr:pic>
      <xdr:nvPicPr>
        <xdr:cNvPr id="55" name="42a0a765-c9ba-457c-9557-34a2c52f588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be104d5f6044a9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0</xdr:colOff>
      <xdr:row>260</xdr:row>
      <xdr:rowOff>0</xdr:rowOff>
    </xdr:from>
    <xdr:ext cx="3238500" cy="1828800"/>
    <xdr:pic>
      <xdr:nvPicPr>
        <xdr:cNvPr id="56" name="0c05ceab-f83e-4bdb-9db0-52fe21f7e38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4304a486809463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10</xdr:col>
      <xdr:colOff>0</xdr:colOff>
      <xdr:row>260</xdr:row>
      <xdr:rowOff>0</xdr:rowOff>
    </xdr:from>
    <xdr:ext cx="3238500" cy="1828800"/>
    <xdr:pic>
      <xdr:nvPicPr>
        <xdr:cNvPr id="57" name="ecef018f-568a-498f-8981-712ed3cd7a0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c2a11117598470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274</xdr:row>
      <xdr:rowOff>0</xdr:rowOff>
    </xdr:from>
    <xdr:ext cx="3238500" cy="1828800"/>
    <xdr:pic>
      <xdr:nvPicPr>
        <xdr:cNvPr id="58" name="ec3a1c2d-1f82-439c-9db8-4d835d3bb44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6878b1aac814c3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0</xdr:colOff>
      <xdr:row>274</xdr:row>
      <xdr:rowOff>0</xdr:rowOff>
    </xdr:from>
    <xdr:ext cx="3238500" cy="1828800"/>
    <xdr:pic>
      <xdr:nvPicPr>
        <xdr:cNvPr id="59" name="1fcf4d07-bc08-4ab1-bf65-17d765862b2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ceaeb9277f5438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10</xdr:col>
      <xdr:colOff>0</xdr:colOff>
      <xdr:row>274</xdr:row>
      <xdr:rowOff>0</xdr:rowOff>
    </xdr:from>
    <xdr:ext cx="3238500" cy="1828800"/>
    <xdr:pic>
      <xdr:nvPicPr>
        <xdr:cNvPr id="60" name="0b84eb09-8bab-4475-8aa8-0bbcfc90294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0a3b293dc7d47a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288</xdr:row>
      <xdr:rowOff>0</xdr:rowOff>
    </xdr:from>
    <xdr:ext cx="3238500" cy="1828800"/>
    <xdr:pic>
      <xdr:nvPicPr>
        <xdr:cNvPr id="61" name="389a9b08-cfe8-4089-bae2-c8a7433d6d8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b479cef3106408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0</xdr:colOff>
      <xdr:row>288</xdr:row>
      <xdr:rowOff>0</xdr:rowOff>
    </xdr:from>
    <xdr:ext cx="3238500" cy="1828800"/>
    <xdr:pic>
      <xdr:nvPicPr>
        <xdr:cNvPr id="62" name="b5492ce6-a6e4-4d69-b341-b3ce2d5c882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1e1b63b4a654f3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10</xdr:col>
      <xdr:colOff>0</xdr:colOff>
      <xdr:row>288</xdr:row>
      <xdr:rowOff>0</xdr:rowOff>
    </xdr:from>
    <xdr:ext cx="3238500" cy="1828800"/>
    <xdr:pic>
      <xdr:nvPicPr>
        <xdr:cNvPr id="63" name="b7fbfdd0-470f-409c-9e87-0651ea55dd4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a68777a3bee451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302</xdr:row>
      <xdr:rowOff>0</xdr:rowOff>
    </xdr:from>
    <xdr:ext cx="3238500" cy="1828800"/>
    <xdr:pic>
      <xdr:nvPicPr>
        <xdr:cNvPr id="64" name="0ed21e07-e311-49bb-9c33-180b095fe0d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34cf14a80214af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0</xdr:colOff>
      <xdr:row>302</xdr:row>
      <xdr:rowOff>0</xdr:rowOff>
    </xdr:from>
    <xdr:ext cx="3238500" cy="1828800"/>
    <xdr:pic>
      <xdr:nvPicPr>
        <xdr:cNvPr id="65" name="4037f74c-0c8e-4d59-ba0c-4164833f513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19cdd99bbcc429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10</xdr:col>
      <xdr:colOff>0</xdr:colOff>
      <xdr:row>302</xdr:row>
      <xdr:rowOff>0</xdr:rowOff>
    </xdr:from>
    <xdr:ext cx="3238500" cy="1828800"/>
    <xdr:pic>
      <xdr:nvPicPr>
        <xdr:cNvPr id="66" name="62d1e445-b493-4ac3-9350-31dc115ea69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ac3f17848b9496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316</xdr:row>
      <xdr:rowOff>0</xdr:rowOff>
    </xdr:from>
    <xdr:ext cx="3238500" cy="1828800"/>
    <xdr:pic>
      <xdr:nvPicPr>
        <xdr:cNvPr id="67" name="c074f993-1994-4b28-90db-a6ee5190000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1492438f31d417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0</xdr:colOff>
      <xdr:row>316</xdr:row>
      <xdr:rowOff>0</xdr:rowOff>
    </xdr:from>
    <xdr:ext cx="3238500" cy="1828800"/>
    <xdr:pic>
      <xdr:nvPicPr>
        <xdr:cNvPr id="68" name="f484df71-9f77-42e2-ab9b-df66d70eb0e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d0a5f302e1a420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10</xdr:col>
      <xdr:colOff>0</xdr:colOff>
      <xdr:row>316</xdr:row>
      <xdr:rowOff>0</xdr:rowOff>
    </xdr:from>
    <xdr:ext cx="3238500" cy="1828800"/>
    <xdr:pic>
      <xdr:nvPicPr>
        <xdr:cNvPr id="69" name="1687c1fd-90e3-4de2-84d4-7de9d06cb95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86c3f3aab124f0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330</xdr:row>
      <xdr:rowOff>0</xdr:rowOff>
    </xdr:from>
    <xdr:ext cx="3238500" cy="1828800"/>
    <xdr:pic>
      <xdr:nvPicPr>
        <xdr:cNvPr id="70" name="aeb37dba-bf18-45ce-a3de-aeacf3a11b4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80e7205910e4e1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5</xdr:col>
      <xdr:colOff>0</xdr:colOff>
      <xdr:row>330</xdr:row>
      <xdr:rowOff>0</xdr:rowOff>
    </xdr:from>
    <xdr:ext cx="3238500" cy="1828800"/>
    <xdr:pic>
      <xdr:nvPicPr>
        <xdr:cNvPr id="71" name="8c62b2e4-8b8b-4dcf-b9c2-3b11cd12e3e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a6062bc893e405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10</xdr:col>
      <xdr:colOff>0</xdr:colOff>
      <xdr:row>330</xdr:row>
      <xdr:rowOff>0</xdr:rowOff>
    </xdr:from>
    <xdr:ext cx="3238500" cy="1828800"/>
    <xdr:pic>
      <xdr:nvPicPr>
        <xdr:cNvPr id="72" name="c6eca689-7432-48d9-a80c-f5bc77946ba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6739950edbe49c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344</xdr:row>
      <xdr:rowOff>0</xdr:rowOff>
    </xdr:from>
    <xdr:ext cx="3238500" cy="1828800"/>
    <xdr:pic>
      <xdr:nvPicPr>
        <xdr:cNvPr id="73" name="f0e6c6da-f65d-463e-92d8-4ab03af354a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1ef64a2ea9a4b2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4.xml><?xml version="1.0" encoding="utf-8"?>
<xdr:wsDr xmlns:xdr="http://schemas.openxmlformats.org/drawingml/2006/spreadsheetDrawing">
  <xdr:oneCellAnchor>
    <xdr:from>
      <xdr:col>0</xdr:col>
      <xdr:colOff>0</xdr:colOff>
      <xdr:row>5</xdr:row>
      <xdr:rowOff>0</xdr:rowOff>
    </xdr:from>
    <xdr:ext cx="10001250" cy="8886825"/>
    <xdr:pic>
      <xdr:nvPicPr>
        <xdr:cNvPr id="1" name="ad3d9f87-7d78-414b-ae32-a993b415788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a48671ac203442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BaliPlaces" displayName="BaliPlaces" ref="A10:P83" headerRowCount="1" totalsRowCount="0" totalsRowShown="0">
  <x:autoFilter ref="A10:P83"/>
  <x:tableColumns count="16">
    <x:tableColumn id="1" name="Ранг TA"/>
    <x:tableColumn id="2" name="ID карты"/>
    <x:tableColumn id="3" name="Место"/>
    <x:tableColumn id="4" name="Категория"/>
    <x:tableColumn id="5" name="Район"/>
    <x:tableColumn id="6" name="★ / 5"/>
    <x:tableColumn id="7" name="Отзывов TA"/>
    <x:tableColumn id="8" name="Зачем ехать / что попробовать"/>
    <x:tableColumn id="9" name="Тип места"/>
    <x:tableColumn id="10" name="На месте"/>
    <x:tableColumn id="11" name="Нагрузка"/>
    <x:tableColumn id="12" name="Расходы / ориентир"/>
    <x:tableColumn id="13" name="Геолокация"/>
    <x:tableColumn id="14" name="Фото"/>
    <x:tableColumn id="15" name="Отзывы"/>
    <x:tableColumn id="16" name="Мой выбор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BaliReviews" displayName="BaliReviews" ref="A6:Q79" headerRowCount="1" totalsRowCount="0" totalsRowShown="0">
  <x:autoFilter ref="A6:Q79"/>
  <x:tableColumns count="17">
    <x:tableColumn id="1" name="ID"/>
    <x:tableColumn id="2" name="Место"/>
    <x:tableColumn id="3" name="Когда лучше"/>
    <x:tableColumn id="4" name="Что учесть"/>
    <x:tableColumn id="5" name="Отзыв 1 • пересказ"/>
    <x:tableColumn id="6" name="Отзыв 2 • пересказ"/>
    <x:tableColumn id="7" name="Оригинал 1"/>
    <x:tableColumn id="8" name="Оригинал 2"/>
    <x:tableColumn id="9" name="Рейтинг • источник"/>
    <x:tableColumn id="10" name="Широта"/>
    <x:tableColumn id="11" name="Долгота"/>
    <x:tableColumn id="12" name="Точность геолокации"/>
    <x:tableColumn id="13" name="Источник гео"/>
    <x:tableColumn id="14" name="Проверка"/>
    <x:tableColumn id="15" name="Выборка"/>
    <x:tableColumn id="16" name="Фото • источник"/>
    <x:tableColumn id="17" name="В список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9b077ca5af8d42a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comments" Target="/xl/comments1.xml" Id="Rc51c600a8a274618" /><Relationship Type="http://schemas.openxmlformats.org/officeDocument/2006/relationships/vmlDrawing" Target="/xl/drawings/vmldrawing.vml" Id="Rf728ee507715403a" /><Relationship Type="http://schemas.openxmlformats.org/officeDocument/2006/relationships/drawing" Target="/xl/drawings/drawing2.xml" Id="Rd95df1e9d64e49f0" /><Relationship Type="http://schemas.openxmlformats.org/officeDocument/2006/relationships/table" Target="/xl/tables/table1.xml" Id="R5e7fbdc186d14f8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0b6eb10c7f764a51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3.xml" Id="R16b21ec86b024e3e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4.xml" Id="R24601c597ff14382" /></Relationships>
</file>

<file path=xl/worksheets/sheet1.xml><?xml version="1.0" encoding="utf-8"?>
<x:worksheet xmlns:x="http://schemas.openxmlformats.org/spreadsheetml/2006/main">
  <x:sheetPr>
    <x:tabColor rgb="FF24665C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9.4399995803833" hidden="0" customWidth="1"/>
    <x:col min="2" max="2" width="9.4399995803833" hidden="0" customWidth="1"/>
    <x:col min="3" max="3" width="9.4399995803833" hidden="0" customWidth="1"/>
    <x:col min="4" max="4" width="9.4399995803833" hidden="0" customWidth="1"/>
    <x:col min="5" max="5" width="2.440000057220459" hidden="0" customWidth="1"/>
    <x:col min="6" max="6" width="9.4399995803833" hidden="0" customWidth="1"/>
    <x:col min="7" max="7" width="9.4399995803833" hidden="0" customWidth="1"/>
    <x:col min="8" max="8" width="9.4399995803833" hidden="0" customWidth="1"/>
    <x:col min="9" max="9" width="9.4399995803833" hidden="0" customWidth="1"/>
    <x:col min="10" max="10" width="2.440000057220459" hidden="0" customWidth="1"/>
    <x:col min="11" max="11" width="9.4399995803833" hidden="0" customWidth="1"/>
    <x:col min="12" max="12" width="9.4399995803833" hidden="0" customWidth="1"/>
    <x:col min="13" max="13" width="9.4399995803833" hidden="0" customWidth="1"/>
    <x:col min="14" max="14" width="9.4399995803833" hidden="0" customWidth="1"/>
  </x:cols>
  <x:sheetData>
    <x:row r="1" ht="18.75" customHeight="1">
      <x:c r="A1" s="4"/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</x:row>
    <x:row r="2" ht="18.75" customHeight="1">
      <x:c r="A2" s="5" t="str">
        <x:v>БАЛИ  /  73 МЕСТА</x:v>
      </x:c>
      <x:c r="B2" s="5" t="str">
        <x:v>БАЛИ  /  73 МЕСТА</x:v>
      </x:c>
      <x:c r="C2" s="5" t="str">
        <x:v>БАЛИ  /  73 МЕСТА</x:v>
      </x:c>
      <x:c r="D2" s="5" t="str">
        <x:v>БАЛИ  /  73 МЕСТА</x:v>
      </x:c>
      <x:c r="E2" s="5" t="str">
        <x:v>БАЛИ  /  73 МЕСТА</x:v>
      </x:c>
      <x:c r="F2" s="5" t="str">
        <x:v>БАЛИ  /  73 МЕСТА</x:v>
      </x:c>
      <x:c r="G2" s="5" t="str">
        <x:v>БАЛИ  /  73 МЕСТА</x:v>
      </x:c>
      <x:c r="H2" s="5" t="str">
        <x:v>БАЛИ  /  73 МЕСТА</x:v>
      </x:c>
      <x:c r="I2" s="5" t="str">
        <x:v>БАЛИ  /  73 МЕСТА</x:v>
      </x:c>
      <x:c r="J2" s="5" t="str">
        <x:v>БАЛИ  /  73 МЕСТА</x:v>
      </x:c>
      <x:c r="K2" s="5" t="str">
        <x:v>БАЛИ  /  73 МЕСТА</x:v>
      </x:c>
      <x:c r="L2" s="5" t="str">
        <x:v>БАЛИ  /  73 МЕСТА</x:v>
      </x:c>
      <x:c r="M2" s="5" t="str">
        <x:v>БАЛИ  /  73 МЕСТА</x:v>
      </x:c>
      <x:c r="N2" s="5" t="str">
        <x:v>БАЛИ  /  73 МЕСТА</x:v>
      </x:c>
    </x:row>
    <x:row r="3" ht="18.75" customHeight="1">
      <x:c r="A3" s="5" t="str">
        <x:v>БАЛИ  /  73 МЕСТА</x:v>
      </x:c>
      <x:c r="B3" s="5" t="str">
        <x:v>БАЛИ  /  73 МЕСТА</x:v>
      </x:c>
      <x:c r="C3" s="5" t="str">
        <x:v>БАЛИ  /  73 МЕСТА</x:v>
      </x:c>
      <x:c r="D3" s="5" t="str">
        <x:v>БАЛИ  /  73 МЕСТА</x:v>
      </x:c>
      <x:c r="E3" s="5" t="str">
        <x:v>БАЛИ  /  73 МЕСТА</x:v>
      </x:c>
      <x:c r="F3" s="5" t="str">
        <x:v>БАЛИ  /  73 МЕСТА</x:v>
      </x:c>
      <x:c r="G3" s="5" t="str">
        <x:v>БАЛИ  /  73 МЕСТА</x:v>
      </x:c>
      <x:c r="H3" s="5" t="str">
        <x:v>БАЛИ  /  73 МЕСТА</x:v>
      </x:c>
      <x:c r="I3" s="5" t="str">
        <x:v>БАЛИ  /  73 МЕСТА</x:v>
      </x:c>
      <x:c r="J3" s="5" t="str">
        <x:v>БАЛИ  /  73 МЕСТА</x:v>
      </x:c>
      <x:c r="K3" s="5" t="str">
        <x:v>БАЛИ  /  73 МЕСТА</x:v>
      </x:c>
      <x:c r="L3" s="5" t="str">
        <x:v>БАЛИ  /  73 МЕСТА</x:v>
      </x:c>
      <x:c r="M3" s="5" t="str">
        <x:v>БАЛИ  /  73 МЕСТА</x:v>
      </x:c>
      <x:c r="N3" s="5" t="str">
        <x:v>БАЛИ  /  73 МЕСТА</x:v>
      </x:c>
    </x:row>
    <x:row r="4" ht="18.75" customHeight="1">
      <x:c r="A4" s="5" t="str">
        <x:v>БАЛИ  /  73 МЕСТА</x:v>
      </x:c>
      <x:c r="B4" s="5" t="str">
        <x:v>БАЛИ  /  73 МЕСТА</x:v>
      </x:c>
      <x:c r="C4" s="5" t="str">
        <x:v>БАЛИ  /  73 МЕСТА</x:v>
      </x:c>
      <x:c r="D4" s="5" t="str">
        <x:v>БАЛИ  /  73 МЕСТА</x:v>
      </x:c>
      <x:c r="E4" s="5" t="str">
        <x:v>БАЛИ  /  73 МЕСТА</x:v>
      </x:c>
      <x:c r="F4" s="5" t="str">
        <x:v>БАЛИ  /  73 МЕСТА</x:v>
      </x:c>
      <x:c r="G4" s="5" t="str">
        <x:v>БАЛИ  /  73 МЕСТА</x:v>
      </x:c>
      <x:c r="H4" s="5" t="str">
        <x:v>БАЛИ  /  73 МЕСТА</x:v>
      </x:c>
      <x:c r="I4" s="5" t="str">
        <x:v>БАЛИ  /  73 МЕСТА</x:v>
      </x:c>
      <x:c r="J4" s="5" t="str">
        <x:v>БАЛИ  /  73 МЕСТА</x:v>
      </x:c>
      <x:c r="K4" s="5" t="str">
        <x:v>БАЛИ  /  73 МЕСТА</x:v>
      </x:c>
      <x:c r="L4" s="5" t="str">
        <x:v>БАЛИ  /  73 МЕСТА</x:v>
      </x:c>
      <x:c r="M4" s="5" t="str">
        <x:v>БАЛИ  /  73 МЕСТА</x:v>
      </x:c>
      <x:c r="N4" s="5" t="str">
        <x:v>БАЛИ  /  73 МЕСТА</x:v>
      </x:c>
    </x:row>
    <x:row r="5" ht="18.75" customHeight="1">
      <x:c r="A5" s="6" t="str">
        <x:v>Водопады, пляжи, культура, прогулки и еда. Большая подборка для самостоятельного выбора. Проверка открытых источников: 29 сентября 2026.</x:v>
      </x:c>
      <x:c r="B5" s="6" t="str">
        <x:v>Водопады, пляжи, культура, прогулки и еда. Большая подборка для самостоятельного выбора. Проверка открытых источников: 29 сентября 2026.</x:v>
      </x:c>
      <x:c r="C5" s="6" t="str">
        <x:v>Водопады, пляжи, культура, прогулки и еда. Большая подборка для самостоятельного выбора. Проверка открытых источников: 29 сентября 2026.</x:v>
      </x:c>
      <x:c r="D5" s="6" t="str">
        <x:v>Водопады, пляжи, культура, прогулки и еда. Большая подборка для самостоятельного выбора. Проверка открытых источников: 29 сентября 2026.</x:v>
      </x:c>
      <x:c r="E5" s="6" t="str">
        <x:v>Водопады, пляжи, культура, прогулки и еда. Большая подборка для самостоятельного выбора. Проверка открытых источников: 29 сентября 2026.</x:v>
      </x:c>
      <x:c r="F5" s="6" t="str">
        <x:v>Водопады, пляжи, культура, прогулки и еда. Большая подборка для самостоятельного выбора. Проверка открытых источников: 29 сентября 2026.</x:v>
      </x:c>
      <x:c r="G5" s="6" t="str">
        <x:v>Водопады, пляжи, культура, прогулки и еда. Большая подборка для самостоятельного выбора. Проверка открытых источников: 29 сентября 2026.</x:v>
      </x:c>
      <x:c r="H5" s="6" t="str">
        <x:v>Водопады, пляжи, культура, прогулки и еда. Большая подборка для самостоятельного выбора. Проверка открытых источников: 29 сентября 2026.</x:v>
      </x:c>
      <x:c r="I5" s="6" t="str">
        <x:v>Водопады, пляжи, культура, прогулки и еда. Большая подборка для самостоятельного выбора. Проверка открытых источников: 29 сентября 2026.</x:v>
      </x:c>
      <x:c r="J5" s="6" t="str">
        <x:v>Водопады, пляжи, культура, прогулки и еда. Большая подборка для самостоятельного выбора. Проверка открытых источников: 29 сентября 2026.</x:v>
      </x:c>
      <x:c r="K5" s="6" t="str">
        <x:v>Водопады, пляжи, культура, прогулки и еда. Большая подборка для самостоятельного выбора. Проверка открытых источников: 29 сентября 2026.</x:v>
      </x:c>
      <x:c r="L5" s="6" t="str">
        <x:v>Водопады, пляжи, культура, прогулки и еда. Большая подборка для самостоятельного выбора. Проверка открытых источников: 29 сентября 2026.</x:v>
      </x:c>
      <x:c r="M5" s="6" t="str">
        <x:v>Водопады, пляжи, культура, прогулки и еда. Большая подборка для самостоятельного выбора. Проверка открытых источников: 29 сентября 2026.</x:v>
      </x:c>
      <x:c r="N5" s="6" t="str">
        <x:v>Водопады, пляжи, культура, прогулки и еда. Большая подборка для самостоятельного выбора. Проверка открытых источников: 29 сентября 2026.</x:v>
      </x:c>
    </x:row>
    <x:row r="6" ht="18.75" customHeight="1">
      <x:c r="A6" s="6" t="str">
        <x:v>Водопады, пляжи, культура, прогулки и еда. Большая подборка для самостоятельного выбора. Проверка открытых источников: 29 сентября 2026.</x:v>
      </x:c>
      <x:c r="B6" s="6" t="str">
        <x:v>Водопады, пляжи, культура, прогулки и еда. Большая подборка для самостоятельного выбора. Проверка открытых источников: 29 сентября 2026.</x:v>
      </x:c>
      <x:c r="C6" s="6" t="str">
        <x:v>Водопады, пляжи, культура, прогулки и еда. Большая подборка для самостоятельного выбора. Проверка открытых источников: 29 сентября 2026.</x:v>
      </x:c>
      <x:c r="D6" s="6" t="str">
        <x:v>Водопады, пляжи, культура, прогулки и еда. Большая подборка для самостоятельного выбора. Проверка открытых источников: 29 сентября 2026.</x:v>
      </x:c>
      <x:c r="E6" s="6" t="str">
        <x:v>Водопады, пляжи, культура, прогулки и еда. Большая подборка для самостоятельного выбора. Проверка открытых источников: 29 сентября 2026.</x:v>
      </x:c>
      <x:c r="F6" s="6" t="str">
        <x:v>Водопады, пляжи, культура, прогулки и еда. Большая подборка для самостоятельного выбора. Проверка открытых источников: 29 сентября 2026.</x:v>
      </x:c>
      <x:c r="G6" s="6" t="str">
        <x:v>Водопады, пляжи, культура, прогулки и еда. Большая подборка для самостоятельного выбора. Проверка открытых источников: 29 сентября 2026.</x:v>
      </x:c>
      <x:c r="H6" s="6" t="str">
        <x:v>Водопады, пляжи, культура, прогулки и еда. Большая подборка для самостоятельного выбора. Проверка открытых источников: 29 сентября 2026.</x:v>
      </x:c>
      <x:c r="I6" s="6" t="str">
        <x:v>Водопады, пляжи, культура, прогулки и еда. Большая подборка для самостоятельного выбора. Проверка открытых источников: 29 сентября 2026.</x:v>
      </x:c>
      <x:c r="J6" s="6" t="str">
        <x:v>Водопады, пляжи, культура, прогулки и еда. Большая подборка для самостоятельного выбора. Проверка открытых источников: 29 сентября 2026.</x:v>
      </x:c>
      <x:c r="K6" s="6" t="str">
        <x:v>Водопады, пляжи, культура, прогулки и еда. Большая подборка для самостоятельного выбора. Проверка открытых источников: 29 сентября 2026.</x:v>
      </x:c>
      <x:c r="L6" s="6" t="str">
        <x:v>Водопады, пляжи, культура, прогулки и еда. Большая подборка для самостоятельного выбора. Проверка открытых источников: 29 сентября 2026.</x:v>
      </x:c>
      <x:c r="M6" s="6" t="str">
        <x:v>Водопады, пляжи, культура, прогулки и еда. Большая подборка для самостоятельного выбора. Проверка открытых источников: 29 сентября 2026.</x:v>
      </x:c>
      <x:c r="N6" s="6" t="str">
        <x:v>Водопады, пляжи, культура, прогулки и еда. Большая подборка для самостоятельного выбора. Проверка открытых источников: 29 сентября 2026.</x:v>
      </x:c>
    </x:row>
    <x:row r="7" ht="18.75" customHeight="1">
      <x:c r="A7" s="4"/>
      <x:c r="B7" s="4"/>
      <x:c r="C7" s="4"/>
      <x:c r="D7" s="4"/>
      <x:c r="E7" s="4"/>
      <x:c r="F7" s="4"/>
      <x:c r="G7" s="4"/>
      <x:c r="H7" s="4"/>
      <x:c r="I7" s="4"/>
      <x:c r="J7" s="4"/>
      <x:c r="K7" s="4"/>
      <x:c r="L7" s="4"/>
      <x:c r="M7" s="4"/>
      <x:c r="N7" s="4"/>
    </x:row>
    <x:row r="8" ht="18.75" customHeight="1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  <x:c r="M8" s="4"/>
      <x:c r="N8" s="4"/>
    </x:row>
    <x:row r="9" ht="18.75" customHeight="1">
      <x:c r="A9" s="4"/>
      <x:c r="B9" s="4"/>
      <x:c r="C9" s="4"/>
      <x:c r="D9" s="4"/>
      <x:c r="E9" s="4"/>
      <x:c r="F9" s="4"/>
      <x:c r="G9" s="4"/>
      <x:c r="H9" s="4"/>
      <x:c r="I9" s="4"/>
      <x:c r="J9" s="4"/>
      <x:c r="K9" s="4"/>
      <x:c r="L9" s="4"/>
      <x:c r="M9" s="4"/>
      <x:c r="N9" s="4"/>
    </x:row>
    <x:row r="10" ht="18.75" customHeight="1">
      <x:c r="A10" s="4"/>
      <x:c r="B10" s="4"/>
      <x:c r="C10" s="4"/>
      <x:c r="D10" s="4"/>
      <x:c r="E10" s="4"/>
      <x:c r="F10" s="4"/>
      <x:c r="G10" s="4"/>
      <x:c r="H10" s="4"/>
      <x:c r="I10" s="4"/>
      <x:c r="J10" s="4"/>
      <x:c r="K10" s="4"/>
      <x:c r="L10" s="4"/>
      <x:c r="M10" s="4"/>
      <x:c r="N10" s="4"/>
    </x:row>
    <x:row r="11" ht="18.75" customHeight="1">
      <x:c r="A11" s="4"/>
      <x:c r="B11" s="4"/>
      <x:c r="C11" s="4"/>
      <x:c r="D11" s="4"/>
      <x:c r="E11" s="4"/>
      <x:c r="F11" s="4"/>
      <x:c r="G11" s="4"/>
      <x:c r="H11" s="4"/>
      <x:c r="I11" s="4"/>
      <x:c r="J11" s="4"/>
      <x:c r="K11" s="4"/>
      <x:c r="L11" s="4"/>
      <x:c r="M11" s="4"/>
      <x:c r="N11" s="4"/>
    </x:row>
    <x:row r="12" ht="18.75" customHeight="1">
      <x:c r="A12" s="4"/>
      <x:c r="B12" s="4"/>
      <x:c r="C12" s="4"/>
      <x:c r="D12" s="4"/>
      <x:c r="E12" s="4"/>
      <x:c r="F12" s="4"/>
      <x:c r="G12" s="4"/>
      <x:c r="H12" s="4"/>
      <x:c r="I12" s="4"/>
      <x:c r="J12" s="4"/>
      <x:c r="K12" s="4"/>
      <x:c r="L12" s="4"/>
      <x:c r="M12" s="4"/>
      <x:c r="N12" s="4"/>
    </x:row>
    <x:row r="13" ht="18.75" customHeight="1">
      <x:c r="A13" s="4"/>
      <x:c r="B13" s="4"/>
      <x:c r="C13" s="4"/>
      <x:c r="D13" s="4"/>
      <x:c r="E13" s="4"/>
      <x:c r="F13" s="4"/>
      <x:c r="G13" s="4"/>
      <x:c r="H13" s="4"/>
      <x:c r="I13" s="4"/>
      <x:c r="J13" s="4"/>
      <x:c r="K13" s="4"/>
      <x:c r="L13" s="4"/>
      <x:c r="M13" s="4"/>
      <x:c r="N13" s="4"/>
    </x:row>
    <x:row r="14" ht="18.75" customHeight="1">
      <x:c r="A14" s="4"/>
      <x:c r="B14" s="4"/>
      <x:c r="C14" s="4"/>
      <x:c r="D14" s="4"/>
      <x:c r="E14" s="4"/>
      <x:c r="F14" s="4"/>
      <x:c r="G14" s="4"/>
      <x:c r="H14" s="4"/>
      <x:c r="I14" s="4"/>
      <x:c r="J14" s="4"/>
      <x:c r="K14" s="4"/>
      <x:c r="L14" s="4"/>
      <x:c r="M14" s="4"/>
      <x:c r="N14" s="4"/>
    </x:row>
    <x:row r="15" ht="18.75" customHeight="1">
      <x:c r="A15" s="4"/>
      <x:c r="B15" s="4"/>
      <x:c r="C15" s="4"/>
      <x:c r="D15" s="4"/>
      <x:c r="E15" s="4"/>
      <x:c r="F15" s="4"/>
      <x:c r="G15" s="4"/>
      <x:c r="H15" s="4"/>
      <x:c r="I15" s="4"/>
      <x:c r="J15" s="4"/>
      <x:c r="K15" s="4"/>
      <x:c r="L15" s="4"/>
      <x:c r="M15" s="4"/>
      <x:c r="N15" s="4"/>
    </x:row>
    <x:row r="16" ht="18.75" customHeight="1">
      <x:c r="A16" s="4"/>
      <x:c r="B16" s="4"/>
      <x:c r="C16" s="4"/>
      <x:c r="D16" s="4"/>
      <x:c r="E16" s="4"/>
      <x:c r="F16" s="4"/>
      <x:c r="G16" s="4"/>
      <x:c r="H16" s="4"/>
      <x:c r="I16" s="4"/>
      <x:c r="J16" s="4"/>
      <x:c r="K16" s="4"/>
      <x:c r="L16" s="4"/>
      <x:c r="M16" s="4"/>
      <x:c r="N16" s="4"/>
    </x:row>
    <x:row r="17" ht="18.75" customHeight="1">
      <x:c r="A17" s="7" t="str">
        <x:v>01  СЕКУМПУЛ</x:v>
      </x:c>
      <x:c r="B17" s="7" t="str">
        <x:v>01  СЕКУМПУЛ</x:v>
      </x:c>
      <x:c r="C17" s="7" t="str">
        <x:v>01  СЕКУМПУЛ</x:v>
      </x:c>
      <x:c r="D17" s="7" t="str">
        <x:v>01  СЕКУМПУЛ</x:v>
      </x:c>
      <x:c r="E17" s="4"/>
      <x:c r="F17" s="7" t="str">
        <x:v>44  ДЖАТИЛУВИХ</x:v>
      </x:c>
      <x:c r="G17" s="7" t="str">
        <x:v>44  ДЖАТИЛУВИХ</x:v>
      </x:c>
      <x:c r="H17" s="7" t="str">
        <x:v>44  ДЖАТИЛУВИХ</x:v>
      </x:c>
      <x:c r="I17" s="7" t="str">
        <x:v>44  ДЖАТИЛУВИХ</x:v>
      </x:c>
      <x:c r="J17" s="4"/>
      <x:c r="K17" s="7" t="str">
        <x:v>24  VIRGIN BEACH</x:v>
      </x:c>
      <x:c r="L17" s="7" t="str">
        <x:v>24  VIRGIN BEACH</x:v>
      </x:c>
      <x:c r="M17" s="7" t="str">
        <x:v>24  VIRGIN BEACH</x:v>
      </x:c>
      <x:c r="N17" s="7" t="str">
        <x:v>24  VIRGIN BEACH</x:v>
      </x:c>
    </x:row>
    <x:row r="18" ht="18.75" customHeight="1">
      <x:c r="A18" s="4"/>
      <x:c r="B18" s="4"/>
      <x:c r="C18" s="4"/>
      <x:c r="D18" s="4"/>
      <x:c r="E18" s="4"/>
      <x:c r="F18" s="4"/>
      <x:c r="G18" s="4"/>
      <x:c r="H18" s="4"/>
      <x:c r="I18" s="4"/>
      <x:c r="J18" s="4"/>
      <x:c r="K18" s="4"/>
      <x:c r="L18" s="4"/>
      <x:c r="M18" s="4"/>
      <x:c r="N18" s="4"/>
    </x:row>
    <x:row r="19" ht="18.75" customHeight="1">
      <x:c r="A19" s="8" t="str">
        <x:f>HYPERLINK("#'Места'!A1","Сравнить места →")</x:f>
        <x:v>Сравнить места →</x:v>
      </x:c>
      <x:c r="B19" s="4"/>
      <x:c r="C19" s="4"/>
      <x:c r="D19" s="4"/>
      <x:c r="E19" s="4"/>
      <x:c r="F19" s="8" t="str">
        <x:f>HYPERLINK("#'Фото'!A1","Смотреть фото →")</x:f>
        <x:v>Смотреть фото →</x:v>
      </x:c>
      <x:c r="G19" s="4"/>
      <x:c r="H19" s="4"/>
      <x:c r="I19" s="4"/>
      <x:c r="J19" s="4"/>
      <x:c r="K19" s="8" t="str">
        <x:f>HYPERLINK("#'Карта'!A1","Открыть карту →")</x:f>
        <x:v>Открыть карту →</x:v>
      </x:c>
      <x:c r="L19" s="4"/>
      <x:c r="M19" s="4"/>
      <x:c r="N19" s="4"/>
    </x:row>
    <x:row r="20" ht="18.75" customHeight="1">
      <x:c r="A20" s="4"/>
      <x:c r="B20" s="4"/>
      <x:c r="C20" s="4"/>
      <x:c r="D20" s="4"/>
      <x:c r="E20" s="4"/>
      <x:c r="F20" s="4"/>
      <x:c r="G20" s="4"/>
      <x:c r="H20" s="4"/>
      <x:c r="I20" s="4"/>
      <x:c r="J20" s="4"/>
      <x:c r="K20" s="4"/>
      <x:c r="L20" s="4"/>
      <x:c r="M20" s="4"/>
      <x:c r="N20" s="4"/>
    </x:row>
    <x:row r="21" ht="18.75" customHeight="1">
      <x:c r="A21" s="10" t="str">
        <x:v>КАК ВЫБРАТЬ</x:v>
      </x:c>
      <x:c r="B21" s="10" t="str">
        <x:v>КАК ВЫБРАТЬ</x:v>
      </x:c>
      <x:c r="C21" s="10" t="str">
        <x:v>КАК ВЫБРАТЬ</x:v>
      </x:c>
      <x:c r="D21" s="10" t="str">
        <x:v>КАК ВЫБРАТЬ</x:v>
      </x:c>
      <x:c r="E21" s="10" t="str">
        <x:v>КАК ВЫБРАТЬ</x:v>
      </x:c>
      <x:c r="F21" s="10" t="str">
        <x:v>КАК ВЫБРАТЬ</x:v>
      </x:c>
      <x:c r="G21" s="10" t="str">
        <x:v>КАК ВЫБРАТЬ</x:v>
      </x:c>
      <x:c r="H21" s="10" t="str">
        <x:v>КАК ВЫБРАТЬ</x:v>
      </x:c>
      <x:c r="I21" s="10" t="str">
        <x:v>КАК ВЫБРАТЬ</x:v>
      </x:c>
      <x:c r="J21" s="10" t="str">
        <x:v>КАК ВЫБРАТЬ</x:v>
      </x:c>
      <x:c r="K21" s="10" t="str">
        <x:v>КАК ВЫБРАТЬ</x:v>
      </x:c>
      <x:c r="L21" s="10" t="str">
        <x:v>КАК ВЫБРАТЬ</x:v>
      </x:c>
      <x:c r="M21" s="10" t="str">
        <x:v>КАК ВЫБРАТЬ</x:v>
      </x:c>
      <x:c r="N21" s="10" t="str">
        <x:v>КАК ВЫБРАТЬ</x:v>
      </x:c>
    </x:row>
    <x:row r="22" ht="18.75" customHeight="1">
      <x:c r="A22" s="4" t="str">
        <x:v>На листе «Места» включены фильтры: выбери район, категорию, «Неочевидное» и нагрузку. В колонке «Мой выбор» можно поставить «Хочу» или «В план». Ранг показывает объём отзывов, а звёзды — оценку гостей.</x:v>
      </x:c>
      <x:c r="B22" s="4" t="str">
        <x:v>На листе «Места» включены фильтры: выбери район, категорию, «Неочевидное» и нагрузку. В колонке «Мой выбор» можно поставить «Хочу» или «В план». Ранг показывает объём отзывов, а звёзды — оценку гостей.</x:v>
      </x:c>
      <x:c r="C22" s="4" t="str">
        <x:v>На листе «Места» включены фильтры: выбери район, категорию, «Неочевидное» и нагрузку. В колонке «Мой выбор» можно поставить «Хочу» или «В план». Ранг показывает объём отзывов, а звёзды — оценку гостей.</x:v>
      </x:c>
      <x:c r="D22" s="4" t="str">
        <x:v>На листе «Места» включены фильтры: выбери район, категорию, «Неочевидное» и нагрузку. В колонке «Мой выбор» можно поставить «Хочу» или «В план». Ранг показывает объём отзывов, а звёзды — оценку гостей.</x:v>
      </x:c>
      <x:c r="E22" s="4" t="str">
        <x:v>На листе «Места» включены фильтры: выбери район, категорию, «Неочевидное» и нагрузку. В колонке «Мой выбор» можно поставить «Хочу» или «В план». Ранг показывает объём отзывов, а звёзды — оценку гостей.</x:v>
      </x:c>
      <x:c r="F22" s="4" t="str">
        <x:v>На листе «Места» включены фильтры: выбери район, категорию, «Неочевидное» и нагрузку. В колонке «Мой выбор» можно поставить «Хочу» или «В план». Ранг показывает объём отзывов, а звёзды — оценку гостей.</x:v>
      </x:c>
      <x:c r="G22" s="4" t="str">
        <x:v>На листе «Места» включены фильтры: выбери район, категорию, «Неочевидное» и нагрузку. В колонке «Мой выбор» можно поставить «Хочу» или «В план». Ранг показывает объём отзывов, а звёзды — оценку гостей.</x:v>
      </x:c>
      <x:c r="H22" s="4" t="str">
        <x:v>На листе «Места» включены фильтры: выбери район, категорию, «Неочевидное» и нагрузку. В колонке «Мой выбор» можно поставить «Хочу» или «В план». Ранг показывает объём отзывов, а звёзды — оценку гостей.</x:v>
      </x:c>
      <x:c r="I22" s="4" t="str">
        <x:v>На листе «Места» включены фильтры: выбери район, категорию, «Неочевидное» и нагрузку. В колонке «Мой выбор» можно поставить «Хочу» или «В план». Ранг показывает объём отзывов, а звёзды — оценку гостей.</x:v>
      </x:c>
      <x:c r="J22" s="4" t="str">
        <x:v>На листе «Места» включены фильтры: выбери район, категорию, «Неочевидное» и нагрузку. В колонке «Мой выбор» можно поставить «Хочу» или «В план». Ранг показывает объём отзывов, а звёзды — оценку гостей.</x:v>
      </x:c>
      <x:c r="K22" s="4" t="str">
        <x:v>На листе «Места» включены фильтры: выбери район, категорию, «Неочевидное» и нагрузку. В колонке «Мой выбор» можно поставить «Хочу» или «В план». Ранг показывает объём отзывов, а звёзды — оценку гостей.</x:v>
      </x:c>
      <x:c r="L22" s="4" t="str">
        <x:v>На листе «Места» включены фильтры: выбери район, категорию, «Неочевидное» и нагрузку. В колонке «Мой выбор» можно поставить «Хочу» или «В план». Ранг показывает объём отзывов, а звёзды — оценку гостей.</x:v>
      </x:c>
      <x:c r="M22" s="4" t="str">
        <x:v>На листе «Места» включены фильтры: выбери район, категорию, «Неочевидное» и нагрузку. В колонке «Мой выбор» можно поставить «Хочу» или «В план». Ранг показывает объём отзывов, а звёзды — оценку гостей.</x:v>
      </x:c>
      <x:c r="N22" s="4" t="str">
        <x:v>На листе «Места» включены фильтры: выбери район, категорию, «Неочевидное» и нагрузку. В колонке «Мой выбор» можно поставить «Хочу» или «В план». Ранг показывает объём отзывов, а звёзды — оценку гостей.</x:v>
      </x:c>
    </x:row>
    <x:row r="23" ht="18.75" customHeight="1">
      <x:c r="A23" s="4" t="str">
        <x:v>На листе «Места» включены фильтры: выбери район, категорию, «Неочевидное» и нагрузку. В колонке «Мой выбор» можно поставить «Хочу» или «В план». Ранг показывает объём отзывов, а звёзды — оценку гостей.</x:v>
      </x:c>
      <x:c r="B23" s="4" t="str">
        <x:v>На листе «Места» включены фильтры: выбери район, категорию, «Неочевидное» и нагрузку. В колонке «Мой выбор» можно поставить «Хочу» или «В план». Ранг показывает объём отзывов, а звёзды — оценку гостей.</x:v>
      </x:c>
      <x:c r="C23" s="4" t="str">
        <x:v>На листе «Места» включены фильтры: выбери район, категорию, «Неочевидное» и нагрузку. В колонке «Мой выбор» можно поставить «Хочу» или «В план». Ранг показывает объём отзывов, а звёзды — оценку гостей.</x:v>
      </x:c>
      <x:c r="D23" s="4" t="str">
        <x:v>На листе «Места» включены фильтры: выбери район, категорию, «Неочевидное» и нагрузку. В колонке «Мой выбор» можно поставить «Хочу» или «В план». Ранг показывает объём отзывов, а звёзды — оценку гостей.</x:v>
      </x:c>
      <x:c r="E23" s="4" t="str">
        <x:v>На листе «Места» включены фильтры: выбери район, категорию, «Неочевидное» и нагрузку. В колонке «Мой выбор» можно поставить «Хочу» или «В план». Ранг показывает объём отзывов, а звёзды — оценку гостей.</x:v>
      </x:c>
      <x:c r="F23" s="4" t="str">
        <x:v>На листе «Места» включены фильтры: выбери район, категорию, «Неочевидное» и нагрузку. В колонке «Мой выбор» можно поставить «Хочу» или «В план». Ранг показывает объём отзывов, а звёзды — оценку гостей.</x:v>
      </x:c>
      <x:c r="G23" s="4" t="str">
        <x:v>На листе «Места» включены фильтры: выбери район, категорию, «Неочевидное» и нагрузку. В колонке «Мой выбор» можно поставить «Хочу» или «В план». Ранг показывает объём отзывов, а звёзды — оценку гостей.</x:v>
      </x:c>
      <x:c r="H23" s="4" t="str">
        <x:v>На листе «Места» включены фильтры: выбери район, категорию, «Неочевидное» и нагрузку. В колонке «Мой выбор» можно поставить «Хочу» или «В план». Ранг показывает объём отзывов, а звёзды — оценку гостей.</x:v>
      </x:c>
      <x:c r="I23" s="4" t="str">
        <x:v>На листе «Места» включены фильтры: выбери район, категорию, «Неочевидное» и нагрузку. В колонке «Мой выбор» можно поставить «Хочу» или «В план». Ранг показывает объём отзывов, а звёзды — оценку гостей.</x:v>
      </x:c>
      <x:c r="J23" s="4" t="str">
        <x:v>На листе «Места» включены фильтры: выбери район, категорию, «Неочевидное» и нагрузку. В колонке «Мой выбор» можно поставить «Хочу» или «В план». Ранг показывает объём отзывов, а звёзды — оценку гостей.</x:v>
      </x:c>
      <x:c r="K23" s="4" t="str">
        <x:v>На листе «Места» включены фильтры: выбери район, категорию, «Неочевидное» и нагрузку. В колонке «Мой выбор» можно поставить «Хочу» или «В план». Ранг показывает объём отзывов, а звёзды — оценку гостей.</x:v>
      </x:c>
      <x:c r="L23" s="4" t="str">
        <x:v>На листе «Места» включены фильтры: выбери район, категорию, «Неочевидное» и нагрузку. В колонке «Мой выбор» можно поставить «Хочу» или «В план». Ранг показывает объём отзывов, а звёзды — оценку гостей.</x:v>
      </x:c>
      <x:c r="M23" s="4" t="str">
        <x:v>На листе «Места» включены фильтры: выбери район, категорию, «Неочевидное» и нагрузку. В колонке «Мой выбор» можно поставить «Хочу» или «В план». Ранг показывает объём отзывов, а звёзды — оценку гостей.</x:v>
      </x:c>
      <x:c r="N23" s="4" t="str">
        <x:v>На листе «Места» включены фильтры: выбери район, категорию, «Неочевидное» и нагрузку. В колонке «Мой выбор» можно поставить «Хочу» или «В план». Ранг показывает объём отзывов, а звёзды — оценку гостей.</x:v>
      </x:c>
    </x:row>
    <x:row r="24" ht="18.75" customHeight="1">
      <x:c r="A24" s="4" t="str">
        <x:v>Постоянный ID связывает таблицу, фотографии и карту. Он не меняется при сортировке. Ссылки «Фото» и «Отзывы» ведут к нужной строке; «На карте» открывает Google Maps. Карта также находится под основной таблицей.</x:v>
      </x:c>
      <x:c r="B24" s="4" t="str">
        <x:v>Постоянный ID связывает таблицу, фотографии и карту. Он не меняется при сортировке. Ссылки «Фото» и «Отзывы» ведут к нужной строке; «На карте» открывает Google Maps. Карта также находится под основной таблицей.</x:v>
      </x:c>
      <x:c r="C24" s="4" t="str">
        <x:v>Постоянный ID связывает таблицу, фотографии и карту. Он не меняется при сортировке. Ссылки «Фото» и «Отзывы» ведут к нужной строке; «На карте» открывает Google Maps. Карта также находится под основной таблицей.</x:v>
      </x:c>
      <x:c r="D24" s="4" t="str">
        <x:v>Постоянный ID связывает таблицу, фотографии и карту. Он не меняется при сортировке. Ссылки «Фото» и «Отзывы» ведут к нужной строке; «На карте» открывает Google Maps. Карта также находится под основной таблицей.</x:v>
      </x:c>
      <x:c r="E24" s="4" t="str">
        <x:v>Постоянный ID связывает таблицу, фотографии и карту. Он не меняется при сортировке. Ссылки «Фото» и «Отзывы» ведут к нужной строке; «На карте» открывает Google Maps. Карта также находится под основной таблицей.</x:v>
      </x:c>
      <x:c r="F24" s="4" t="str">
        <x:v>Постоянный ID связывает таблицу, фотографии и карту. Он не меняется при сортировке. Ссылки «Фото» и «Отзывы» ведут к нужной строке; «На карте» открывает Google Maps. Карта также находится под основной таблицей.</x:v>
      </x:c>
      <x:c r="G24" s="4" t="str">
        <x:v>Постоянный ID связывает таблицу, фотографии и карту. Он не меняется при сортировке. Ссылки «Фото» и «Отзывы» ведут к нужной строке; «На карте» открывает Google Maps. Карта также находится под основной таблицей.</x:v>
      </x:c>
      <x:c r="H24" s="4" t="str">
        <x:v>Постоянный ID связывает таблицу, фотографии и карту. Он не меняется при сортировке. Ссылки «Фото» и «Отзывы» ведут к нужной строке; «На карте» открывает Google Maps. Карта также находится под основной таблицей.</x:v>
      </x:c>
      <x:c r="I24" s="4" t="str">
        <x:v>Постоянный ID связывает таблицу, фотографии и карту. Он не меняется при сортировке. Ссылки «Фото» и «Отзывы» ведут к нужной строке; «На карте» открывает Google Maps. Карта также находится под основной таблицей.</x:v>
      </x:c>
      <x:c r="J24" s="4" t="str">
        <x:v>Постоянный ID связывает таблицу, фотографии и карту. Он не меняется при сортировке. Ссылки «Фото» и «Отзывы» ведут к нужной строке; «На карте» открывает Google Maps. Карта также находится под основной таблицей.</x:v>
      </x:c>
      <x:c r="K24" s="4" t="str">
        <x:v>Постоянный ID связывает таблицу, фотографии и карту. Он не меняется при сортировке. Ссылки «Фото» и «Отзывы» ведут к нужной строке; «На карте» открывает Google Maps. Карта также находится под основной таблицей.</x:v>
      </x:c>
      <x:c r="L24" s="4" t="str">
        <x:v>Постоянный ID связывает таблицу, фотографии и карту. Он не меняется при сортировке. Ссылки «Фото» и «Отзывы» ведут к нужной строке; «На карте» открывает Google Maps. Карта также находится под основной таблицей.</x:v>
      </x:c>
      <x:c r="M24" s="4" t="str">
        <x:v>Постоянный ID связывает таблицу, фотографии и карту. Он не меняется при сортировке. Ссылки «Фото» и «Отзывы» ведут к нужной строке; «На карте» открывает Google Maps. Карта также находится под основной таблицей.</x:v>
      </x:c>
      <x:c r="N24" s="4" t="str">
        <x:v>Постоянный ID связывает таблицу, фотографии и карту. Он не меняется при сортировке. Ссылки «Фото» и «Отзывы» ведут к нужной строке; «На карте» открывает Google Maps. Карта также находится под основной таблицей.</x:v>
      </x:c>
    </x:row>
    <x:row r="25" ht="18.75" customHeight="1">
      <x:c r="A25" s="4" t="str">
        <x:v>Постоянный ID связывает таблицу, фотографии и карту. Он не меняется при сортировке. Ссылки «Фото» и «Отзывы» ведут к нужной строке; «На карте» открывает Google Maps. Карта также находится под основной таблицей.</x:v>
      </x:c>
      <x:c r="B25" s="4" t="str">
        <x:v>Постоянный ID связывает таблицу, фотографии и карту. Он не меняется при сортировке. Ссылки «Фото» и «Отзывы» ведут к нужной строке; «На карте» открывает Google Maps. Карта также находится под основной таблицей.</x:v>
      </x:c>
      <x:c r="C25" s="4" t="str">
        <x:v>Постоянный ID связывает таблицу, фотографии и карту. Он не меняется при сортировке. Ссылки «Фото» и «Отзывы» ведут к нужной строке; «На карте» открывает Google Maps. Карта также находится под основной таблицей.</x:v>
      </x:c>
      <x:c r="D25" s="4" t="str">
        <x:v>Постоянный ID связывает таблицу, фотографии и карту. Он не меняется при сортировке. Ссылки «Фото» и «Отзывы» ведут к нужной строке; «На карте» открывает Google Maps. Карта также находится под основной таблицей.</x:v>
      </x:c>
      <x:c r="E25" s="4" t="str">
        <x:v>Постоянный ID связывает таблицу, фотографии и карту. Он не меняется при сортировке. Ссылки «Фото» и «Отзывы» ведут к нужной строке; «На карте» открывает Google Maps. Карта также находится под основной таблицей.</x:v>
      </x:c>
      <x:c r="F25" s="4" t="str">
        <x:v>Постоянный ID связывает таблицу, фотографии и карту. Он не меняется при сортировке. Ссылки «Фото» и «Отзывы» ведут к нужной строке; «На карте» открывает Google Maps. Карта также находится под основной таблицей.</x:v>
      </x:c>
      <x:c r="G25" s="4" t="str">
        <x:v>Постоянный ID связывает таблицу, фотографии и карту. Он не меняется при сортировке. Ссылки «Фото» и «Отзывы» ведут к нужной строке; «На карте» открывает Google Maps. Карта также находится под основной таблицей.</x:v>
      </x:c>
      <x:c r="H25" s="4" t="str">
        <x:v>Постоянный ID связывает таблицу, фотографии и карту. Он не меняется при сортировке. Ссылки «Фото» и «Отзывы» ведут к нужной строке; «На карте» открывает Google Maps. Карта также находится под основной таблицей.</x:v>
      </x:c>
      <x:c r="I25" s="4" t="str">
        <x:v>Постоянный ID связывает таблицу, фотографии и карту. Он не меняется при сортировке. Ссылки «Фото» и «Отзывы» ведут к нужной строке; «На карте» открывает Google Maps. Карта также находится под основной таблицей.</x:v>
      </x:c>
      <x:c r="J25" s="4" t="str">
        <x:v>Постоянный ID связывает таблицу, фотографии и карту. Он не меняется при сортировке. Ссылки «Фото» и «Отзывы» ведут к нужной строке; «На карте» открывает Google Maps. Карта также находится под основной таблицей.</x:v>
      </x:c>
      <x:c r="K25" s="4" t="str">
        <x:v>Постоянный ID связывает таблицу, фотографии и карту. Он не меняется при сортировке. Ссылки «Фото» и «Отзывы» ведут к нужной строке; «На карте» открывает Google Maps. Карта также находится под основной таблицей.</x:v>
      </x:c>
      <x:c r="L25" s="4" t="str">
        <x:v>Постоянный ID связывает таблицу, фотографии и карту. Он не меняется при сортировке. Ссылки «Фото» и «Отзывы» ведут к нужной строке; «На карте» открывает Google Maps. Карта также находится под основной таблицей.</x:v>
      </x:c>
      <x:c r="M25" s="4" t="str">
        <x:v>Постоянный ID связывает таблицу, фотографии и карту. Он не меняется при сортировке. Ссылки «Фото» и «Отзывы» ведут к нужной строке; «На карте» открывает Google Maps. Карта также находится под основной таблицей.</x:v>
      </x:c>
      <x:c r="N25" s="4" t="str">
        <x:v>Постоянный ID связывает таблицу, фотографии и карту. Он не меняется при сортировке. Ссылки «Фото» и «Отзывы» ведут к нужной строке; «На карте» открывает Google Maps. Карта также находится под основной таблицей.</x:v>
      </x:c>
    </x:row>
    <x:row r="26" ht="18.75" customHeight="1">
      <x:c r="A26" s="4"/>
      <x:c r="B26" s="4"/>
      <x:c r="C26" s="4"/>
      <x:c r="D26" s="4"/>
      <x:c r="E26" s="4"/>
      <x:c r="F26" s="4"/>
      <x:c r="G26" s="4"/>
      <x:c r="H26" s="4"/>
      <x:c r="I26" s="4"/>
      <x:c r="J26" s="4"/>
      <x:c r="K26" s="4"/>
      <x:c r="L26" s="4"/>
      <x:c r="M26" s="4"/>
      <x:c r="N26" s="4"/>
    </x:row>
    <x:row r="27" ht="18.75" customHeight="1">
      <x:c r="A27" s="10" t="str">
        <x:v>С ЧЕГО Я БЫ НАЧАЛ • редакционный выбор</x:v>
      </x:c>
      <x:c r="B27" s="10" t="str">
        <x:v>С ЧЕГО Я БЫ НАЧАЛ • редакционный выбор</x:v>
      </x:c>
      <x:c r="C27" s="10" t="str">
        <x:v>С ЧЕГО Я БЫ НАЧАЛ • редакционный выбор</x:v>
      </x:c>
      <x:c r="D27" s="10" t="str">
        <x:v>С ЧЕГО Я БЫ НАЧАЛ • редакционный выбор</x:v>
      </x:c>
      <x:c r="E27" s="10" t="str">
        <x:v>С ЧЕГО Я БЫ НАЧАЛ • редакционный выбор</x:v>
      </x:c>
      <x:c r="F27" s="10" t="str">
        <x:v>С ЧЕГО Я БЫ НАЧАЛ • редакционный выбор</x:v>
      </x:c>
      <x:c r="G27" s="10" t="str">
        <x:v>С ЧЕГО Я БЫ НАЧАЛ • редакционный выбор</x:v>
      </x:c>
      <x:c r="H27" s="10" t="str">
        <x:v>С ЧЕГО Я БЫ НАЧАЛ • редакционный выбор</x:v>
      </x:c>
      <x:c r="I27" s="10" t="str">
        <x:v>С ЧЕГО Я БЫ НАЧАЛ • редакционный выбор</x:v>
      </x:c>
      <x:c r="J27" s="10" t="str">
        <x:v>С ЧЕГО Я БЫ НАЧАЛ • редакционный выбор</x:v>
      </x:c>
      <x:c r="K27" s="10" t="str">
        <x:v>С ЧЕГО Я БЫ НАЧАЛ • редакционный выбор</x:v>
      </x:c>
      <x:c r="L27" s="10" t="str">
        <x:v>С ЧЕГО Я БЫ НАЧАЛ • редакционный выбор</x:v>
      </x:c>
      <x:c r="M27" s="10" t="str">
        <x:v>С ЧЕГО Я БЫ НАЧАЛ • редакционный выбор</x:v>
      </x:c>
      <x:c r="N27" s="10" t="str">
        <x:v>С ЧЕГО Я БЫ НАЧАЛ • редакционный выбор</x:v>
      </x:c>
    </x:row>
    <x:row r="28" ht="18.75" customHeight="1">
      <x:c r="A28" s="7" t="str">
        <x:v>Водопад с сильным впечатлением</x:v>
      </x:c>
      <x:c r="B28" s="7" t="str">
        <x:v>Водопад с сильным впечатлением</x:v>
      </x:c>
      <x:c r="C28" s="7" t="str">
        <x:v>Водопад с сильным впечатлением</x:v>
      </x:c>
      <x:c r="D28" s="7" t="str">
        <x:v>Водопад с сильным впечатлением</x:v>
      </x:c>
      <x:c r="E28" s="4"/>
      <x:c r="F28" s="4" t="str">
        <x:v>01 Sekumpul — масштаб; 05 Banyumala — зелёная чаша; 11 Banyu Wana — несколько каскадов.</x:v>
      </x:c>
      <x:c r="G28" s="4" t="str">
        <x:v>01 Sekumpul — масштаб; 05 Banyumala — зелёная чаша; 11 Banyu Wana — несколько каскадов.</x:v>
      </x:c>
      <x:c r="H28" s="4" t="str">
        <x:v>01 Sekumpul — масштаб; 05 Banyumala — зелёная чаша; 11 Banyu Wana — несколько каскадов.</x:v>
      </x:c>
      <x:c r="I28" s="4" t="str">
        <x:v>01 Sekumpul — масштаб; 05 Banyumala — зелёная чаша; 11 Banyu Wana — несколько каскадов.</x:v>
      </x:c>
      <x:c r="J28" s="4" t="str">
        <x:v>01 Sekumpul — масштаб; 05 Banyumala — зелёная чаша; 11 Banyu Wana — несколько каскадов.</x:v>
      </x:c>
      <x:c r="K28" s="4" t="str">
        <x:v>01 Sekumpul — масштаб; 05 Banyumala — зелёная чаша; 11 Banyu Wana — несколько каскадов.</x:v>
      </x:c>
      <x:c r="L28" s="4" t="str">
        <x:v>01 Sekumpul — масштаб; 05 Banyumala — зелёная чаша; 11 Banyu Wana — несколько каскадов.</x:v>
      </x:c>
      <x:c r="M28" s="4" t="str">
        <x:v>01 Sekumpul — масштаб; 05 Banyumala — зелёная чаша; 11 Banyu Wana — несколько каскадов.</x:v>
      </x:c>
      <x:c r="N28" s="8" t="str">
        <x:f>HYPERLINK("#'Места'!A33","→")</x:f>
        <x:v>→</x:v>
      </x:c>
    </x:row>
    <x:row r="29" ht="18.75" customHeight="1">
      <x:c r="A29" s="7" t="str">
        <x:v>Водопад с сильным впечатлением</x:v>
      </x:c>
      <x:c r="B29" s="7" t="str">
        <x:v>Водопад с сильным впечатлением</x:v>
      </x:c>
      <x:c r="C29" s="7" t="str">
        <x:v>Водопад с сильным впечатлением</x:v>
      </x:c>
      <x:c r="D29" s="7" t="str">
        <x:v>Водопад с сильным впечатлением</x:v>
      </x:c>
      <x:c r="E29" s="4"/>
      <x:c r="F29" s="4" t="str">
        <x:v>01 Sekumpul — масштаб; 05 Banyumala — зелёная чаша; 11 Banyu Wana — несколько каскадов.</x:v>
      </x:c>
      <x:c r="G29" s="4" t="str">
        <x:v>01 Sekumpul — масштаб; 05 Banyumala — зелёная чаша; 11 Banyu Wana — несколько каскадов.</x:v>
      </x:c>
      <x:c r="H29" s="4" t="str">
        <x:v>01 Sekumpul — масштаб; 05 Banyumala — зелёная чаша; 11 Banyu Wana — несколько каскадов.</x:v>
      </x:c>
      <x:c r="I29" s="4" t="str">
        <x:v>01 Sekumpul — масштаб; 05 Banyumala — зелёная чаша; 11 Banyu Wana — несколько каскадов.</x:v>
      </x:c>
      <x:c r="J29" s="4" t="str">
        <x:v>01 Sekumpul — масштаб; 05 Banyumala — зелёная чаша; 11 Banyu Wana — несколько каскадов.</x:v>
      </x:c>
      <x:c r="K29" s="4" t="str">
        <x:v>01 Sekumpul — масштаб; 05 Banyumala — зелёная чаша; 11 Banyu Wana — несколько каскадов.</x:v>
      </x:c>
      <x:c r="L29" s="4" t="str">
        <x:v>01 Sekumpul — масштаб; 05 Banyumala — зелёная чаша; 11 Banyu Wana — несколько каскадов.</x:v>
      </x:c>
      <x:c r="M29" s="4" t="str">
        <x:v>01 Sekumpul — масштаб; 05 Banyumala — зелёная чаша; 11 Banyu Wana — несколько каскадов.</x:v>
      </x:c>
      <x:c r="N29" s="4"/>
    </x:row>
    <x:row r="30" ht="18.75" customHeight="1">
      <x:c r="A30" s="4"/>
      <x:c r="B30" s="4"/>
      <x:c r="C30" s="4"/>
      <x:c r="D30" s="4"/>
      <x:c r="E30" s="4"/>
      <x:c r="F30" s="4"/>
      <x:c r="G30" s="4"/>
      <x:c r="H30" s="4"/>
      <x:c r="I30" s="4"/>
      <x:c r="J30" s="4"/>
      <x:c r="K30" s="4"/>
      <x:c r="L30" s="4"/>
      <x:c r="M30" s="4"/>
      <x:c r="N30" s="4"/>
    </x:row>
    <x:row r="31" ht="18.75" customHeight="1">
      <x:c r="A31" s="7" t="str">
        <x:v>Красиво и менее очевидно</x:v>
      </x:c>
      <x:c r="B31" s="7" t="str">
        <x:v>Красиво и менее очевидно</x:v>
      </x:c>
      <x:c r="C31" s="7" t="str">
        <x:v>Красиво и менее очевидно</x:v>
      </x:c>
      <x:c r="D31" s="7" t="str">
        <x:v>Красиво и менее очевидно</x:v>
      </x:c>
      <x:c r="E31" s="4"/>
      <x:c r="F31" s="4" t="str">
        <x:v>12 Gembleng, 47 тропа в Sidemen, 48 Lahangan Sweet, 56 Savana Tianyar.</x:v>
      </x:c>
      <x:c r="G31" s="4" t="str">
        <x:v>12 Gembleng, 47 тропа в Sidemen, 48 Lahangan Sweet, 56 Savana Tianyar.</x:v>
      </x:c>
      <x:c r="H31" s="4" t="str">
        <x:v>12 Gembleng, 47 тропа в Sidemen, 48 Lahangan Sweet, 56 Savana Tianyar.</x:v>
      </x:c>
      <x:c r="I31" s="4" t="str">
        <x:v>12 Gembleng, 47 тропа в Sidemen, 48 Lahangan Sweet, 56 Savana Tianyar.</x:v>
      </x:c>
      <x:c r="J31" s="4" t="str">
        <x:v>12 Gembleng, 47 тропа в Sidemen, 48 Lahangan Sweet, 56 Savana Tianyar.</x:v>
      </x:c>
      <x:c r="K31" s="4" t="str">
        <x:v>12 Gembleng, 47 тропа в Sidemen, 48 Lahangan Sweet, 56 Savana Tianyar.</x:v>
      </x:c>
      <x:c r="L31" s="4" t="str">
        <x:v>12 Gembleng, 47 тропа в Sidemen, 48 Lahangan Sweet, 56 Savana Tianyar.</x:v>
      </x:c>
      <x:c r="M31" s="4" t="str">
        <x:v>12 Gembleng, 47 тропа в Sidemen, 48 Lahangan Sweet, 56 Savana Tianyar.</x:v>
      </x:c>
      <x:c r="N31" s="8" t="str">
        <x:f>HYPERLINK("#'Места'!A81","→")</x:f>
        <x:v>→</x:v>
      </x:c>
    </x:row>
    <x:row r="32" ht="18.75" customHeight="1">
      <x:c r="A32" s="7" t="str">
        <x:v>Красиво и менее очевидно</x:v>
      </x:c>
      <x:c r="B32" s="7" t="str">
        <x:v>Красиво и менее очевидно</x:v>
      </x:c>
      <x:c r="C32" s="7" t="str">
        <x:v>Красиво и менее очевидно</x:v>
      </x:c>
      <x:c r="D32" s="7" t="str">
        <x:v>Красиво и менее очевидно</x:v>
      </x:c>
      <x:c r="E32" s="4"/>
      <x:c r="F32" s="4" t="str">
        <x:v>12 Gembleng, 47 тропа в Sidemen, 48 Lahangan Sweet, 56 Savana Tianyar.</x:v>
      </x:c>
      <x:c r="G32" s="4" t="str">
        <x:v>12 Gembleng, 47 тропа в Sidemen, 48 Lahangan Sweet, 56 Savana Tianyar.</x:v>
      </x:c>
      <x:c r="H32" s="4" t="str">
        <x:v>12 Gembleng, 47 тропа в Sidemen, 48 Lahangan Sweet, 56 Savana Tianyar.</x:v>
      </x:c>
      <x:c r="I32" s="4" t="str">
        <x:v>12 Gembleng, 47 тропа в Sidemen, 48 Lahangan Sweet, 56 Savana Tianyar.</x:v>
      </x:c>
      <x:c r="J32" s="4" t="str">
        <x:v>12 Gembleng, 47 тропа в Sidemen, 48 Lahangan Sweet, 56 Savana Tianyar.</x:v>
      </x:c>
      <x:c r="K32" s="4" t="str">
        <x:v>12 Gembleng, 47 тропа в Sidemen, 48 Lahangan Sweet, 56 Savana Tianyar.</x:v>
      </x:c>
      <x:c r="L32" s="4" t="str">
        <x:v>12 Gembleng, 47 тропа в Sidemen, 48 Lahangan Sweet, 56 Savana Tianyar.</x:v>
      </x:c>
      <x:c r="M32" s="4" t="str">
        <x:v>12 Gembleng, 47 тропа в Sidemen, 48 Lahangan Sweet, 56 Savana Tianyar.</x:v>
      </x:c>
      <x:c r="N32" s="4"/>
    </x:row>
    <x:row r="33" ht="18.75" customHeight="1">
      <x:c r="A33" s="4"/>
      <x:c r="B33" s="4"/>
      <x:c r="C33" s="4"/>
      <x:c r="D33" s="4"/>
      <x:c r="E33" s="4"/>
      <x:c r="F33" s="4"/>
      <x:c r="G33" s="4"/>
      <x:c r="H33" s="4"/>
      <x:c r="I33" s="4"/>
      <x:c r="J33" s="4"/>
      <x:c r="K33" s="4"/>
      <x:c r="L33" s="4"/>
      <x:c r="M33" s="4"/>
      <x:c r="N33" s="4"/>
    </x:row>
    <x:row r="34" ht="18.75" customHeight="1">
      <x:c r="A34" s="7" t="str">
        <x:v>Пляжный день</x:v>
      </x:c>
      <x:c r="B34" s="7" t="str">
        <x:v>Пляжный день</x:v>
      </x:c>
      <x:c r="C34" s="7" t="str">
        <x:v>Пляжный день</x:v>
      </x:c>
      <x:c r="D34" s="7" t="str">
        <x:v>Пляжный день</x:v>
      </x:c>
      <x:c r="E34" s="4"/>
      <x:c r="F34" s="4" t="str">
        <x:v>15 Melasti — инфраструктура; 22 Gunung Payung — бухта; 24 Virgin — восток.</x:v>
      </x:c>
      <x:c r="G34" s="4" t="str">
        <x:v>15 Melasti — инфраструктура; 22 Gunung Payung — бухта; 24 Virgin — восток.</x:v>
      </x:c>
      <x:c r="H34" s="4" t="str">
        <x:v>15 Melasti — инфраструктура; 22 Gunung Payung — бухта; 24 Virgin — восток.</x:v>
      </x:c>
      <x:c r="I34" s="4" t="str">
        <x:v>15 Melasti — инфраструктура; 22 Gunung Payung — бухта; 24 Virgin — восток.</x:v>
      </x:c>
      <x:c r="J34" s="4" t="str">
        <x:v>15 Melasti — инфраструктура; 22 Gunung Payung — бухта; 24 Virgin — восток.</x:v>
      </x:c>
      <x:c r="K34" s="4" t="str">
        <x:v>15 Melasti — инфраструктура; 22 Gunung Payung — бухта; 24 Virgin — восток.</x:v>
      </x:c>
      <x:c r="L34" s="4" t="str">
        <x:v>15 Melasti — инфраструктура; 22 Gunung Payung — бухта; 24 Virgin — восток.</x:v>
      </x:c>
      <x:c r="M34" s="4" t="str">
        <x:v>15 Melasti — инфраструктура; 22 Gunung Payung — бухта; 24 Virgin — восток.</x:v>
      </x:c>
      <x:c r="N34" s="8" t="str">
        <x:f>HYPERLINK("#'Места'!A63","→")</x:f>
        <x:v>→</x:v>
      </x:c>
    </x:row>
    <x:row r="35" ht="18.75" customHeight="1">
      <x:c r="A35" s="7" t="str">
        <x:v>Пляжный день</x:v>
      </x:c>
      <x:c r="B35" s="7" t="str">
        <x:v>Пляжный день</x:v>
      </x:c>
      <x:c r="C35" s="7" t="str">
        <x:v>Пляжный день</x:v>
      </x:c>
      <x:c r="D35" s="7" t="str">
        <x:v>Пляжный день</x:v>
      </x:c>
      <x:c r="E35" s="4"/>
      <x:c r="F35" s="4" t="str">
        <x:v>15 Melasti — инфраструктура; 22 Gunung Payung — бухта; 24 Virgin — восток.</x:v>
      </x:c>
      <x:c r="G35" s="4" t="str">
        <x:v>15 Melasti — инфраструктура; 22 Gunung Payung — бухта; 24 Virgin — восток.</x:v>
      </x:c>
      <x:c r="H35" s="4" t="str">
        <x:v>15 Melasti — инфраструктура; 22 Gunung Payung — бухта; 24 Virgin — восток.</x:v>
      </x:c>
      <x:c r="I35" s="4" t="str">
        <x:v>15 Melasti — инфраструктура; 22 Gunung Payung — бухта; 24 Virgin — восток.</x:v>
      </x:c>
      <x:c r="J35" s="4" t="str">
        <x:v>15 Melasti — инфраструктура; 22 Gunung Payung — бухта; 24 Virgin — восток.</x:v>
      </x:c>
      <x:c r="K35" s="4" t="str">
        <x:v>15 Melasti — инфраструктура; 22 Gunung Payung — бухта; 24 Virgin — восток.</x:v>
      </x:c>
      <x:c r="L35" s="4" t="str">
        <x:v>15 Melasti — инфраструктура; 22 Gunung Payung — бухта; 24 Virgin — восток.</x:v>
      </x:c>
      <x:c r="M35" s="4" t="str">
        <x:v>15 Melasti — инфраструктура; 22 Gunung Payung — бухта; 24 Virgin — восток.</x:v>
      </x:c>
      <x:c r="N35" s="4"/>
    </x:row>
    <x:row r="36" ht="18.75" customHeight="1">
      <x:c r="A36" s="4"/>
      <x:c r="B36" s="4"/>
      <x:c r="C36" s="4"/>
      <x:c r="D36" s="4"/>
      <x:c r="E36" s="4"/>
      <x:c r="F36" s="4"/>
      <x:c r="G36" s="4"/>
      <x:c r="H36" s="4"/>
      <x:c r="I36" s="4"/>
      <x:c r="J36" s="4"/>
      <x:c r="K36" s="4"/>
      <x:c r="L36" s="4"/>
      <x:c r="M36" s="4"/>
      <x:c r="N36" s="4"/>
    </x:row>
    <x:row r="37" ht="18.75" customHeight="1">
      <x:c r="A37" s="7" t="str">
        <x:v>Прогулка без фотоконвейера</x:v>
      </x:c>
      <x:c r="B37" s="7" t="str">
        <x:v>Прогулка без фотоконвейера</x:v>
      </x:c>
      <x:c r="C37" s="7" t="str">
        <x:v>Прогулка без фотоконвейера</x:v>
      </x:c>
      <x:c r="D37" s="7" t="str">
        <x:v>Прогулка без фотоконвейера</x:v>
      </x:c>
      <x:c r="E37" s="4"/>
      <x:c r="F37" s="4" t="str">
        <x:v>44 Jatiluwih, 46 Campuhan, 52 Tamblingan. Ранний выезд повышает шанс на тишину.</x:v>
      </x:c>
      <x:c r="G37" s="4" t="str">
        <x:v>44 Jatiluwih, 46 Campuhan, 52 Tamblingan. Ранний выезд повышает шанс на тишину.</x:v>
      </x:c>
      <x:c r="H37" s="4" t="str">
        <x:v>44 Jatiluwih, 46 Campuhan, 52 Tamblingan. Ранний выезд повышает шанс на тишину.</x:v>
      </x:c>
      <x:c r="I37" s="4" t="str">
        <x:v>44 Jatiluwih, 46 Campuhan, 52 Tamblingan. Ранний выезд повышает шанс на тишину.</x:v>
      </x:c>
      <x:c r="J37" s="4" t="str">
        <x:v>44 Jatiluwih, 46 Campuhan, 52 Tamblingan. Ранний выезд повышает шанс на тишину.</x:v>
      </x:c>
      <x:c r="K37" s="4" t="str">
        <x:v>44 Jatiluwih, 46 Campuhan, 52 Tamblingan. Ранний выезд повышает шанс на тишину.</x:v>
      </x:c>
      <x:c r="L37" s="4" t="str">
        <x:v>44 Jatiluwih, 46 Campuhan, 52 Tamblingan. Ранний выезд повышает шанс на тишину.</x:v>
      </x:c>
      <x:c r="M37" s="4" t="str">
        <x:v>44 Jatiluwih, 46 Campuhan, 52 Tamblingan. Ранний выезд повышает шанс на тишину.</x:v>
      </x:c>
      <x:c r="N37" s="8" t="str">
        <x:f>HYPERLINK("#'Места'!A28","→")</x:f>
        <x:v>→</x:v>
      </x:c>
    </x:row>
    <x:row r="38" ht="18.75" customHeight="1">
      <x:c r="A38" s="7" t="str">
        <x:v>Прогулка без фотоконвейера</x:v>
      </x:c>
      <x:c r="B38" s="7" t="str">
        <x:v>Прогулка без фотоконвейера</x:v>
      </x:c>
      <x:c r="C38" s="7" t="str">
        <x:v>Прогулка без фотоконвейера</x:v>
      </x:c>
      <x:c r="D38" s="7" t="str">
        <x:v>Прогулка без фотоконвейера</x:v>
      </x:c>
      <x:c r="E38" s="4"/>
      <x:c r="F38" s="4" t="str">
        <x:v>44 Jatiluwih, 46 Campuhan, 52 Tamblingan. Ранний выезд повышает шанс на тишину.</x:v>
      </x:c>
      <x:c r="G38" s="4" t="str">
        <x:v>44 Jatiluwih, 46 Campuhan, 52 Tamblingan. Ранний выезд повышает шанс на тишину.</x:v>
      </x:c>
      <x:c r="H38" s="4" t="str">
        <x:v>44 Jatiluwih, 46 Campuhan, 52 Tamblingan. Ранний выезд повышает шанс на тишину.</x:v>
      </x:c>
      <x:c r="I38" s="4" t="str">
        <x:v>44 Jatiluwih, 46 Campuhan, 52 Tamblingan. Ранний выезд повышает шанс на тишину.</x:v>
      </x:c>
      <x:c r="J38" s="4" t="str">
        <x:v>44 Jatiluwih, 46 Campuhan, 52 Tamblingan. Ранний выезд повышает шанс на тишину.</x:v>
      </x:c>
      <x:c r="K38" s="4" t="str">
        <x:v>44 Jatiluwih, 46 Campuhan, 52 Tamblingan. Ранний выезд повышает шанс на тишину.</x:v>
      </x:c>
      <x:c r="L38" s="4" t="str">
        <x:v>44 Jatiluwih, 46 Campuhan, 52 Tamblingan. Ранний выезд повышает шанс на тишину.</x:v>
      </x:c>
      <x:c r="M38" s="4" t="str">
        <x:v>44 Jatiluwih, 46 Campuhan, 52 Tamblingan. Ранний выезд повышает шанс на тишину.</x:v>
      </x:c>
      <x:c r="N38" s="4"/>
    </x:row>
    <x:row r="39" ht="18.75" customHeight="1">
      <x:c r="A39" s="4"/>
      <x:c r="B39" s="4"/>
      <x:c r="C39" s="4"/>
      <x:c r="D39" s="4"/>
      <x:c r="E39" s="4"/>
      <x:c r="F39" s="4"/>
      <x:c r="G39" s="4"/>
      <x:c r="H39" s="4"/>
      <x:c r="I39" s="4"/>
      <x:c r="J39" s="4"/>
      <x:c r="K39" s="4"/>
      <x:c r="L39" s="4"/>
      <x:c r="M39" s="4"/>
      <x:c r="N39" s="4"/>
    </x:row>
    <x:row r="40" ht="18.75" customHeight="1">
      <x:c r="A40" s="7" t="str">
        <x:v>Попробовать местную кухню</x:v>
      </x:c>
      <x:c r="B40" s="7" t="str">
        <x:v>Попробовать местную кухню</x:v>
      </x:c>
      <x:c r="C40" s="7" t="str">
        <x:v>Попробовать местную кухню</x:v>
      </x:c>
      <x:c r="D40" s="7" t="str">
        <x:v>Попробовать местную кухню</x:v>
      </x:c>
      <x:c r="E40" s="4"/>
      <x:c r="F40" s="4" t="str">
        <x:v>62 Ibu Mangku — курица; 65 Mak Beng — рыба; 68 Warung Mami — гриль; 71 — свиной сатай.</x:v>
      </x:c>
      <x:c r="G40" s="4" t="str">
        <x:v>62 Ibu Mangku — курица; 65 Mak Beng — рыба; 68 Warung Mami — гриль; 71 — свиной сатай.</x:v>
      </x:c>
      <x:c r="H40" s="4" t="str">
        <x:v>62 Ibu Mangku — курица; 65 Mak Beng — рыба; 68 Warung Mami — гриль; 71 — свиной сатай.</x:v>
      </x:c>
      <x:c r="I40" s="4" t="str">
        <x:v>62 Ibu Mangku — курица; 65 Mak Beng — рыба; 68 Warung Mami — гриль; 71 — свиной сатай.</x:v>
      </x:c>
      <x:c r="J40" s="4" t="str">
        <x:v>62 Ibu Mangku — курица; 65 Mak Beng — рыба; 68 Warung Mami — гриль; 71 — свиной сатай.</x:v>
      </x:c>
      <x:c r="K40" s="4" t="str">
        <x:v>62 Ibu Mangku — курица; 65 Mak Beng — рыба; 68 Warung Mami — гриль; 71 — свиной сатай.</x:v>
      </x:c>
      <x:c r="L40" s="4" t="str">
        <x:v>62 Ibu Mangku — курица; 65 Mak Beng — рыба; 68 Warung Mami — гриль; 71 — свиной сатай.</x:v>
      </x:c>
      <x:c r="M40" s="4" t="str">
        <x:v>62 Ibu Mangku — курица; 65 Mak Beng — рыба; 68 Warung Mami — гриль; 71 — свиной сатай.</x:v>
      </x:c>
      <x:c r="N40" s="8" t="str">
        <x:f>HYPERLINK("#'Места'!A70","→")</x:f>
        <x:v>→</x:v>
      </x:c>
    </x:row>
    <x:row r="41" ht="18.75" customHeight="1">
      <x:c r="A41" s="7" t="str">
        <x:v>Попробовать местную кухню</x:v>
      </x:c>
      <x:c r="B41" s="7" t="str">
        <x:v>Попробовать местную кухню</x:v>
      </x:c>
      <x:c r="C41" s="7" t="str">
        <x:v>Попробовать местную кухню</x:v>
      </x:c>
      <x:c r="D41" s="7" t="str">
        <x:v>Попробовать местную кухню</x:v>
      </x:c>
      <x:c r="E41" s="4"/>
      <x:c r="F41" s="4" t="str">
        <x:v>62 Ibu Mangku — курица; 65 Mak Beng — рыба; 68 Warung Mami — гриль; 71 — свиной сатай.</x:v>
      </x:c>
      <x:c r="G41" s="4" t="str">
        <x:v>62 Ibu Mangku — курица; 65 Mak Beng — рыба; 68 Warung Mami — гриль; 71 — свиной сатай.</x:v>
      </x:c>
      <x:c r="H41" s="4" t="str">
        <x:v>62 Ibu Mangku — курица; 65 Mak Beng — рыба; 68 Warung Mami — гриль; 71 — свиной сатай.</x:v>
      </x:c>
      <x:c r="I41" s="4" t="str">
        <x:v>62 Ibu Mangku — курица; 65 Mak Beng — рыба; 68 Warung Mami — гриль; 71 — свиной сатай.</x:v>
      </x:c>
      <x:c r="J41" s="4" t="str">
        <x:v>62 Ibu Mangku — курица; 65 Mak Beng — рыба; 68 Warung Mami — гриль; 71 — свиной сатай.</x:v>
      </x:c>
      <x:c r="K41" s="4" t="str">
        <x:v>62 Ibu Mangku — курица; 65 Mak Beng — рыба; 68 Warung Mami — гриль; 71 — свиной сатай.</x:v>
      </x:c>
      <x:c r="L41" s="4" t="str">
        <x:v>62 Ibu Mangku — курица; 65 Mak Beng — рыба; 68 Warung Mami — гриль; 71 — свиной сатай.</x:v>
      </x:c>
      <x:c r="M41" s="4" t="str">
        <x:v>62 Ibu Mangku — курица; 65 Mak Beng — рыба; 68 Warung Mami — гриль; 71 — свиной сатай.</x:v>
      </x:c>
      <x:c r="N41" s="4"/>
    </x:row>
    <x:row r="42" ht="18.75" customHeight="1">
      <x:c r="A42" s="4"/>
      <x:c r="B42" s="4"/>
      <x:c r="C42" s="4"/>
      <x:c r="D42" s="4"/>
      <x:c r="E42" s="4"/>
      <x:c r="F42" s="4"/>
      <x:c r="G42" s="4"/>
      <x:c r="H42" s="4"/>
      <x:c r="I42" s="4"/>
      <x:c r="J42" s="4"/>
      <x:c r="K42" s="4"/>
      <x:c r="L42" s="4"/>
      <x:c r="M42" s="4"/>
      <x:c r="N42" s="4"/>
    </x:row>
    <x:row r="43" ht="18.75" customHeight="1">
      <x:c r="A43" s="7" t="str">
        <x:v>Культура и архитектура</x:v>
      </x:c>
      <x:c r="B43" s="7" t="str">
        <x:v>Культура и архитектура</x:v>
      </x:c>
      <x:c r="C43" s="7" t="str">
        <x:v>Культура и архитектура</x:v>
      </x:c>
      <x:c r="D43" s="7" t="str">
        <x:v>Культура и архитектура</x:v>
      </x:c>
      <x:c r="E43" s="4"/>
      <x:c r="F43" s="4" t="str">
        <x:v>36 Gunung Kawi — каменные святилища; 38 Taman Ayun — сады; 40 Taman Ujung — простор.</x:v>
      </x:c>
      <x:c r="G43" s="4" t="str">
        <x:v>36 Gunung Kawi — каменные святилища; 38 Taman Ayun — сады; 40 Taman Ujung — простор.</x:v>
      </x:c>
      <x:c r="H43" s="4" t="str">
        <x:v>36 Gunung Kawi — каменные святилища; 38 Taman Ayun — сады; 40 Taman Ujung — простор.</x:v>
      </x:c>
      <x:c r="I43" s="4" t="str">
        <x:v>36 Gunung Kawi — каменные святилища; 38 Taman Ayun — сады; 40 Taman Ujung — простор.</x:v>
      </x:c>
      <x:c r="J43" s="4" t="str">
        <x:v>36 Gunung Kawi — каменные святилища; 38 Taman Ayun — сады; 40 Taman Ujung — простор.</x:v>
      </x:c>
      <x:c r="K43" s="4" t="str">
        <x:v>36 Gunung Kawi — каменные святилища; 38 Taman Ayun — сады; 40 Taman Ujung — простор.</x:v>
      </x:c>
      <x:c r="L43" s="4" t="str">
        <x:v>36 Gunung Kawi — каменные святилища; 38 Taman Ayun — сады; 40 Taman Ujung — простор.</x:v>
      </x:c>
      <x:c r="M43" s="4" t="str">
        <x:v>36 Gunung Kawi — каменные святилища; 38 Taman Ayun — сады; 40 Taman Ujung — простор.</x:v>
      </x:c>
      <x:c r="N43" s="8" t="str">
        <x:f>HYPERLINK("#'Места'!A37","→")</x:f>
        <x:v>→</x:v>
      </x:c>
    </x:row>
    <x:row r="44" ht="18.75" customHeight="1">
      <x:c r="A44" s="7" t="str">
        <x:v>Культура и архитектура</x:v>
      </x:c>
      <x:c r="B44" s="7" t="str">
        <x:v>Культура и архитектура</x:v>
      </x:c>
      <x:c r="C44" s="7" t="str">
        <x:v>Культура и архитектура</x:v>
      </x:c>
      <x:c r="D44" s="7" t="str">
        <x:v>Культура и архитектура</x:v>
      </x:c>
      <x:c r="E44" s="4"/>
      <x:c r="F44" s="4" t="str">
        <x:v>36 Gunung Kawi — каменные святилища; 38 Taman Ayun — сады; 40 Taman Ujung — простор.</x:v>
      </x:c>
      <x:c r="G44" s="4" t="str">
        <x:v>36 Gunung Kawi — каменные святилища; 38 Taman Ayun — сады; 40 Taman Ujung — простор.</x:v>
      </x:c>
      <x:c r="H44" s="4" t="str">
        <x:v>36 Gunung Kawi — каменные святилища; 38 Taman Ayun — сады; 40 Taman Ujung — простор.</x:v>
      </x:c>
      <x:c r="I44" s="4" t="str">
        <x:v>36 Gunung Kawi — каменные святилища; 38 Taman Ayun — сады; 40 Taman Ujung — простор.</x:v>
      </x:c>
      <x:c r="J44" s="4" t="str">
        <x:v>36 Gunung Kawi — каменные святилища; 38 Taman Ayun — сады; 40 Taman Ujung — простор.</x:v>
      </x:c>
      <x:c r="K44" s="4" t="str">
        <x:v>36 Gunung Kawi — каменные святилища; 38 Taman Ayun — сады; 40 Taman Ujung — простор.</x:v>
      </x:c>
      <x:c r="L44" s="4" t="str">
        <x:v>36 Gunung Kawi — каменные святилища; 38 Taman Ayun — сады; 40 Taman Ujung — простор.</x:v>
      </x:c>
      <x:c r="M44" s="4" t="str">
        <x:v>36 Gunung Kawi — каменные святилища; 38 Taman Ayun — сады; 40 Taman Ujung — простор.</x:v>
      </x:c>
      <x:c r="N44" s="4"/>
    </x:row>
    <x:row r="45" ht="18.75" customHeight="1">
      <x:c r="A45" s="4"/>
      <x:c r="B45" s="4"/>
      <x:c r="C45" s="4"/>
      <x:c r="D45" s="4"/>
      <x:c r="E45" s="4"/>
      <x:c r="F45" s="4"/>
      <x:c r="G45" s="4"/>
      <x:c r="H45" s="4"/>
      <x:c r="I45" s="4"/>
      <x:c r="J45" s="4"/>
      <x:c r="K45" s="4"/>
      <x:c r="L45" s="4"/>
      <x:c r="M45" s="4"/>
      <x:c r="N45" s="4"/>
    </x:row>
    <x:row r="46" ht="18.75" customHeight="1">
      <x:c r="A46" s="4"/>
      <x:c r="B46" s="4"/>
      <x:c r="C46" s="4"/>
      <x:c r="D46" s="4"/>
      <x:c r="E46" s="4"/>
      <x:c r="F46" s="4"/>
      <x:c r="G46" s="4"/>
      <x:c r="H46" s="4"/>
      <x:c r="I46" s="4"/>
      <x:c r="J46" s="4"/>
      <x:c r="K46" s="4"/>
      <x:c r="L46" s="4"/>
      <x:c r="M46" s="4"/>
      <x:c r="N46" s="4"/>
    </x:row>
    <x:row r="47" ht="18.75" customHeight="1">
      <x:c r="A47" s="10" t="str">
        <x:v>ЧТО ОЗНАЧАЮТ ЦИФРЫ</x:v>
      </x:c>
      <x:c r="B47" s="10" t="str">
        <x:v>ЧТО ОЗНАЧАЮТ ЦИФРЫ</x:v>
      </x:c>
      <x:c r="C47" s="10" t="str">
        <x:v>ЧТО ОЗНАЧАЮТ ЦИФРЫ</x:v>
      </x:c>
      <x:c r="D47" s="10" t="str">
        <x:v>ЧТО ОЗНАЧАЮТ ЦИФРЫ</x:v>
      </x:c>
      <x:c r="E47" s="10" t="str">
        <x:v>ЧТО ОЗНАЧАЮТ ЦИФРЫ</x:v>
      </x:c>
      <x:c r="F47" s="10" t="str">
        <x:v>ЧТО ОЗНАЧАЮТ ЦИФРЫ</x:v>
      </x:c>
      <x:c r="G47" s="10" t="str">
        <x:v>ЧТО ОЗНАЧАЮТ ЦИФРЫ</x:v>
      </x:c>
      <x:c r="H47" s="10" t="str">
        <x:v>ЧТО ОЗНАЧАЮТ ЦИФРЫ</x:v>
      </x:c>
      <x:c r="I47" s="10" t="str">
        <x:v>ЧТО ОЗНАЧАЮТ ЦИФРЫ</x:v>
      </x:c>
      <x:c r="J47" s="10" t="str">
        <x:v>ЧТО ОЗНАЧАЮТ ЦИФРЫ</x:v>
      </x:c>
      <x:c r="K47" s="10" t="str">
        <x:v>ЧТО ОЗНАЧАЮТ ЦИФРЫ</x:v>
      </x:c>
      <x:c r="L47" s="10" t="str">
        <x:v>ЧТО ОЗНАЧАЮТ ЦИФРЫ</x:v>
      </x:c>
      <x:c r="M47" s="10" t="str">
        <x:v>ЧТО ОЗНАЧАЮТ ЦИФРЫ</x:v>
      </x:c>
      <x:c r="N47" s="10" t="str">
        <x:v>ЧТО ОЗНАЧАЮТ ЦИФРЫ</x:v>
      </x:c>
    </x:row>
    <x:row r="48" ht="18.75" customHeight="1">
      <x:c r="A48" s="4" t="str">
        <x:v>Популярность = число отзывов Tripadvisor в пределах этой подборки, по убыванию; при равенстве — ID. Это сопоставимый ориентир известности, а не статистика посещаемости всего Бали. Оценка гостей дана из 5. У №56 отдельная оценка Google через Wanderlog; в общий ранг она не включена.</x:v>
      </x:c>
      <x:c r="B48" s="4" t="str">
        <x:v>Популярность = число отзывов Tripadvisor в пределах этой подборки, по убыванию; при равенстве — ID. Это сопоставимый ориентир известности, а не статистика посещаемости всего Бали. Оценка гостей дана из 5. У №56 отдельная оценка Google через Wanderlog; в общий ранг она не включена.</x:v>
      </x:c>
      <x:c r="C48" s="4" t="str">
        <x:v>Популярность = число отзывов Tripadvisor в пределах этой подборки, по убыванию; при равенстве — ID. Это сопоставимый ориентир известности, а не статистика посещаемости всего Бали. Оценка гостей дана из 5. У №56 отдельная оценка Google через Wanderlog; в общий ранг она не включена.</x:v>
      </x:c>
      <x:c r="D48" s="4" t="str">
        <x:v>Популярность = число отзывов Tripadvisor в пределах этой подборки, по убыванию; при равенстве — ID. Это сопоставимый ориентир известности, а не статистика посещаемости всего Бали. Оценка гостей дана из 5. У №56 отдельная оценка Google через Wanderlog; в общий ранг она не включена.</x:v>
      </x:c>
      <x:c r="E48" s="4" t="str">
        <x:v>Популярность = число отзывов Tripadvisor в пределах этой подборки, по убыванию; при равенстве — ID. Это сопоставимый ориентир известности, а не статистика посещаемости всего Бали. Оценка гостей дана из 5. У №56 отдельная оценка Google через Wanderlog; в общий ранг она не включена.</x:v>
      </x:c>
      <x:c r="F48" s="4" t="str">
        <x:v>Популярность = число отзывов Tripadvisor в пределах этой подборки, по убыванию; при равенстве — ID. Это сопоставимый ориентир известности, а не статистика посещаемости всего Бали. Оценка гостей дана из 5. У №56 отдельная оценка Google через Wanderlog; в общий ранг она не включена.</x:v>
      </x:c>
      <x:c r="G48" s="4" t="str">
        <x:v>Популярность = число отзывов Tripadvisor в пределах этой подборки, по убыванию; при равенстве — ID. Это сопоставимый ориентир известности, а не статистика посещаемости всего Бали. Оценка гостей дана из 5. У №56 отдельная оценка Google через Wanderlog; в общий ранг она не включена.</x:v>
      </x:c>
      <x:c r="H48" s="4" t="str">
        <x:v>Популярность = число отзывов Tripadvisor в пределах этой подборки, по убыванию; при равенстве — ID. Это сопоставимый ориентир известности, а не статистика посещаемости всего Бали. Оценка гостей дана из 5. У №56 отдельная оценка Google через Wanderlog; в общий ранг она не включена.</x:v>
      </x:c>
      <x:c r="I48" s="4" t="str">
        <x:v>Популярность = число отзывов Tripadvisor в пределах этой подборки, по убыванию; при равенстве — ID. Это сопоставимый ориентир известности, а не статистика посещаемости всего Бали. Оценка гостей дана из 5. У №56 отдельная оценка Google через Wanderlog; в общий ранг она не включена.</x:v>
      </x:c>
      <x:c r="J48" s="4" t="str">
        <x:v>Популярность = число отзывов Tripadvisor в пределах этой подборки, по убыванию; при равенстве — ID. Это сопоставимый ориентир известности, а не статистика посещаемости всего Бали. Оценка гостей дана из 5. У №56 отдельная оценка Google через Wanderlog; в общий ранг она не включена.</x:v>
      </x:c>
      <x:c r="K48" s="4" t="str">
        <x:v>Популярность = число отзывов Tripadvisor в пределах этой подборки, по убыванию; при равенстве — ID. Это сопоставимый ориентир известности, а не статистика посещаемости всего Бали. Оценка гостей дана из 5. У №56 отдельная оценка Google через Wanderlog; в общий ранг она не включена.</x:v>
      </x:c>
      <x:c r="L48" s="4" t="str">
        <x:v>Популярность = число отзывов Tripadvisor в пределах этой подборки, по убыванию; при равенстве — ID. Это сопоставимый ориентир известности, а не статистика посещаемости всего Бали. Оценка гостей дана из 5. У №56 отдельная оценка Google через Wanderlog; в общий ранг она не включена.</x:v>
      </x:c>
      <x:c r="M48" s="4" t="str">
        <x:v>Популярность = число отзывов Tripadvisor в пределах этой подборки, по убыванию; при равенстве — ID. Это сопоставимый ориентир известности, а не статистика посещаемости всего Бали. Оценка гостей дана из 5. У №56 отдельная оценка Google через Wanderlog; в общий ранг она не включена.</x:v>
      </x:c>
      <x:c r="N48" s="4" t="str">
        <x:v>Популярность = число отзывов Tripadvisor в пределах этой подборки, по убыванию; при равенстве — ID. Это сопоставимый ориентир известности, а не статистика посещаемости всего Бали. Оценка гостей дана из 5. У №56 отдельная оценка Google через Wanderlog; в общий ранг она не включена.</x:v>
      </x:c>
    </x:row>
    <x:row r="49" ht="18.75" customHeight="1">
      <x:c r="A49" s="4" t="str">
        <x:v>Популярность = число отзывов Tripadvisor в пределах этой подборки, по убыванию; при равенстве — ID. Это сопоставимый ориентир известности, а не статистика посещаемости всего Бали. Оценка гостей дана из 5. У №56 отдельная оценка Google через Wanderlog; в общий ранг она не включена.</x:v>
      </x:c>
      <x:c r="B49" s="4" t="str">
        <x:v>Популярность = число отзывов Tripadvisor в пределах этой подборки, по убыванию; при равенстве — ID. Это сопоставимый ориентир известности, а не статистика посещаемости всего Бали. Оценка гостей дана из 5. У №56 отдельная оценка Google через Wanderlog; в общий ранг она не включена.</x:v>
      </x:c>
      <x:c r="C49" s="4" t="str">
        <x:v>Популярность = число отзывов Tripadvisor в пределах этой подборки, по убыванию; при равенстве — ID. Это сопоставимый ориентир известности, а не статистика посещаемости всего Бали. Оценка гостей дана из 5. У №56 отдельная оценка Google через Wanderlog; в общий ранг она не включена.</x:v>
      </x:c>
      <x:c r="D49" s="4" t="str">
        <x:v>Популярность = число отзывов Tripadvisor в пределах этой подборки, по убыванию; при равенстве — ID. Это сопоставимый ориентир известности, а не статистика посещаемости всего Бали. Оценка гостей дана из 5. У №56 отдельная оценка Google через Wanderlog; в общий ранг она не включена.</x:v>
      </x:c>
      <x:c r="E49" s="4" t="str">
        <x:v>Популярность = число отзывов Tripadvisor в пределах этой подборки, по убыванию; при равенстве — ID. Это сопоставимый ориентир известности, а не статистика посещаемости всего Бали. Оценка гостей дана из 5. У №56 отдельная оценка Google через Wanderlog; в общий ранг она не включена.</x:v>
      </x:c>
      <x:c r="F49" s="4" t="str">
        <x:v>Популярность = число отзывов Tripadvisor в пределах этой подборки, по убыванию; при равенстве — ID. Это сопоставимый ориентир известности, а не статистика посещаемости всего Бали. Оценка гостей дана из 5. У №56 отдельная оценка Google через Wanderlog; в общий ранг она не включена.</x:v>
      </x:c>
      <x:c r="G49" s="4" t="str">
        <x:v>Популярность = число отзывов Tripadvisor в пределах этой подборки, по убыванию; при равенстве — ID. Это сопоставимый ориентир известности, а не статистика посещаемости всего Бали. Оценка гостей дана из 5. У №56 отдельная оценка Google через Wanderlog; в общий ранг она не включена.</x:v>
      </x:c>
      <x:c r="H49" s="4" t="str">
        <x:v>Популярность = число отзывов Tripadvisor в пределах этой подборки, по убыванию; при равенстве — ID. Это сопоставимый ориентир известности, а не статистика посещаемости всего Бали. Оценка гостей дана из 5. У №56 отдельная оценка Google через Wanderlog; в общий ранг она не включена.</x:v>
      </x:c>
      <x:c r="I49" s="4" t="str">
        <x:v>Популярность = число отзывов Tripadvisor в пределах этой подборки, по убыванию; при равенстве — ID. Это сопоставимый ориентир известности, а не статистика посещаемости всего Бали. Оценка гостей дана из 5. У №56 отдельная оценка Google через Wanderlog; в общий ранг она не включена.</x:v>
      </x:c>
      <x:c r="J49" s="4" t="str">
        <x:v>Популярность = число отзывов Tripadvisor в пределах этой подборки, по убыванию; при равенстве — ID. Это сопоставимый ориентир известности, а не статистика посещаемости всего Бали. Оценка гостей дана из 5. У №56 отдельная оценка Google через Wanderlog; в общий ранг она не включена.</x:v>
      </x:c>
      <x:c r="K49" s="4" t="str">
        <x:v>Популярность = число отзывов Tripadvisor в пределах этой подборки, по убыванию; при равенстве — ID. Это сопоставимый ориентир известности, а не статистика посещаемости всего Бали. Оценка гостей дана из 5. У №56 отдельная оценка Google через Wanderlog; в общий ранг она не включена.</x:v>
      </x:c>
      <x:c r="L49" s="4" t="str">
        <x:v>Популярность = число отзывов Tripadvisor в пределах этой подборки, по убыванию; при равенстве — ID. Это сопоставимый ориентир известности, а не статистика посещаемости всего Бали. Оценка гостей дана из 5. У №56 отдельная оценка Google через Wanderlog; в общий ранг она не включена.</x:v>
      </x:c>
      <x:c r="M49" s="4" t="str">
        <x:v>Популярность = число отзывов Tripadvisor в пределах этой подборки, по убыванию; при равенстве — ID. Это сопоставимый ориентир известности, а не статистика посещаемости всего Бали. Оценка гостей дана из 5. У №56 отдельная оценка Google через Wanderlog; в общий ранг она не включена.</x:v>
      </x:c>
      <x:c r="N49" s="4" t="str">
        <x:v>Популярность = число отзывов Tripadvisor в пределах этой подборки, по убыванию; при равенстве — ID. Это сопоставимый ориентир известности, а не статистика посещаемости всего Бали. Оценка гостей дана из 5. У №56 отдельная оценка Google через Wanderlog; в общий ранг она не включена.</x:v>
      </x:c>
    </x:row>
    <x:row r="50" ht="18.75" customHeight="1">
      <x:c r="A50" s="4" t="str">
        <x:v>Популярность = число отзывов Tripadvisor в пределах этой подборки, по убыванию; при равенстве — ID. Это сопоставимый ориентир известности, а не статистика посещаемости всего Бали. Оценка гостей дана из 5. У №56 отдельная оценка Google через Wanderlog; в общий ранг она не включена.</x:v>
      </x:c>
      <x:c r="B50" s="4" t="str">
        <x:v>Популярность = число отзывов Tripadvisor в пределах этой подборки, по убыванию; при равенстве — ID. Это сопоставимый ориентир известности, а не статистика посещаемости всего Бали. Оценка гостей дана из 5. У №56 отдельная оценка Google через Wanderlog; в общий ранг она не включена.</x:v>
      </x:c>
      <x:c r="C50" s="4" t="str">
        <x:v>Популярность = число отзывов Tripadvisor в пределах этой подборки, по убыванию; при равенстве — ID. Это сопоставимый ориентир известности, а не статистика посещаемости всего Бали. Оценка гостей дана из 5. У №56 отдельная оценка Google через Wanderlog; в общий ранг она не включена.</x:v>
      </x:c>
      <x:c r="D50" s="4" t="str">
        <x:v>Популярность = число отзывов Tripadvisor в пределах этой подборки, по убыванию; при равенстве — ID. Это сопоставимый ориентир известности, а не статистика посещаемости всего Бали. Оценка гостей дана из 5. У №56 отдельная оценка Google через Wanderlog; в общий ранг она не включена.</x:v>
      </x:c>
      <x:c r="E50" s="4" t="str">
        <x:v>Популярность = число отзывов Tripadvisor в пределах этой подборки, по убыванию; при равенстве — ID. Это сопоставимый ориентир известности, а не статистика посещаемости всего Бали. Оценка гостей дана из 5. У №56 отдельная оценка Google через Wanderlog; в общий ранг она не включена.</x:v>
      </x:c>
      <x:c r="F50" s="4" t="str">
        <x:v>Популярность = число отзывов Tripadvisor в пределах этой подборки, по убыванию; при равенстве — ID. Это сопоставимый ориентир известности, а не статистика посещаемости всего Бали. Оценка гостей дана из 5. У №56 отдельная оценка Google через Wanderlog; в общий ранг она не включена.</x:v>
      </x:c>
      <x:c r="G50" s="4" t="str">
        <x:v>Популярность = число отзывов Tripadvisor в пределах этой подборки, по убыванию; при равенстве — ID. Это сопоставимый ориентир известности, а не статистика посещаемости всего Бали. Оценка гостей дана из 5. У №56 отдельная оценка Google через Wanderlog; в общий ранг она не включена.</x:v>
      </x:c>
      <x:c r="H50" s="4" t="str">
        <x:v>Популярность = число отзывов Tripadvisor в пределах этой подборки, по убыванию; при равенстве — ID. Это сопоставимый ориентир известности, а не статистика посещаемости всего Бали. Оценка гостей дана из 5. У №56 отдельная оценка Google через Wanderlog; в общий ранг она не включена.</x:v>
      </x:c>
      <x:c r="I50" s="4" t="str">
        <x:v>Популярность = число отзывов Tripadvisor в пределах этой подборки, по убыванию; при равенстве — ID. Это сопоставимый ориентир известности, а не статистика посещаемости всего Бали. Оценка гостей дана из 5. У №56 отдельная оценка Google через Wanderlog; в общий ранг она не включена.</x:v>
      </x:c>
      <x:c r="J50" s="4" t="str">
        <x:v>Популярность = число отзывов Tripadvisor в пределах этой подборки, по убыванию; при равенстве — ID. Это сопоставимый ориентир известности, а не статистика посещаемости всего Бали. Оценка гостей дана из 5. У №56 отдельная оценка Google через Wanderlog; в общий ранг она не включена.</x:v>
      </x:c>
      <x:c r="K50" s="4" t="str">
        <x:v>Популярность = число отзывов Tripadvisor в пределах этой подборки, по убыванию; при равенстве — ID. Это сопоставимый ориентир известности, а не статистика посещаемости всего Бали. Оценка гостей дана из 5. У №56 отдельная оценка Google через Wanderlog; в общий ранг она не включена.</x:v>
      </x:c>
      <x:c r="L50" s="4" t="str">
        <x:v>Популярность = число отзывов Tripadvisor в пределах этой подборки, по убыванию; при равенстве — ID. Это сопоставимый ориентир известности, а не статистика посещаемости всего Бали. Оценка гостей дана из 5. У №56 отдельная оценка Google через Wanderlog; в общий ранг она не включена.</x:v>
      </x:c>
      <x:c r="M50" s="4" t="str">
        <x:v>Популярность = число отзывов Tripadvisor в пределах этой подборки, по убыванию; при равенстве — ID. Это сопоставимый ориентир известности, а не статистика посещаемости всего Бали. Оценка гостей дана из 5. У №56 отдельная оценка Google через Wanderlog; в общий ранг она не включена.</x:v>
      </x:c>
      <x:c r="N50" s="4" t="str">
        <x:v>Популярность = число отзывов Tripadvisor в пределах этой подборки, по убыванию; при равенстве — ID. Это сопоставимый ориентир известности, а не статистика посещаемости всего Бали. Оценка гостей дана из 5. У №56 отдельная оценка Google через Wanderlog; в общий ранг она не включена.</x:v>
      </x:c>
    </x:row>
    <x:row r="51" ht="18.75" customHeight="1">
      <x:c r="A51" s="4" t="str">
        <x:v>Использованы доступные индексированные страницы, поэтому счётчики могут отличаться от сайта сегодня. Малая выборка (меньше 50 отзывов) отмечена в «Отзывах». Два отзыва — краткий пересказ конкретных мнений, не средняя позиция всех посетителей. Отзывы водителей и туроператоров подписаны.</x:v>
      </x:c>
      <x:c r="B51" s="4" t="str">
        <x:v>Использованы доступные индексированные страницы, поэтому счётчики могут отличаться от сайта сегодня. Малая выборка (меньше 50 отзывов) отмечена в «Отзывах». Два отзыва — краткий пересказ конкретных мнений, не средняя позиция всех посетителей. Отзывы водителей и туроператоров подписаны.</x:v>
      </x:c>
      <x:c r="C51" s="4" t="str">
        <x:v>Использованы доступные индексированные страницы, поэтому счётчики могут отличаться от сайта сегодня. Малая выборка (меньше 50 отзывов) отмечена в «Отзывах». Два отзыва — краткий пересказ конкретных мнений, не средняя позиция всех посетителей. Отзывы водителей и туроператоров подписаны.</x:v>
      </x:c>
      <x:c r="D51" s="4" t="str">
        <x:v>Использованы доступные индексированные страницы, поэтому счётчики могут отличаться от сайта сегодня. Малая выборка (меньше 50 отзывов) отмечена в «Отзывах». Два отзыва — краткий пересказ конкретных мнений, не средняя позиция всех посетителей. Отзывы водителей и туроператоров подписаны.</x:v>
      </x:c>
      <x:c r="E51" s="4" t="str">
        <x:v>Использованы доступные индексированные страницы, поэтому счётчики могут отличаться от сайта сегодня. Малая выборка (меньше 50 отзывов) отмечена в «Отзывах». Два отзыва — краткий пересказ конкретных мнений, не средняя позиция всех посетителей. Отзывы водителей и туроператоров подписаны.</x:v>
      </x:c>
      <x:c r="F51" s="4" t="str">
        <x:v>Использованы доступные индексированные страницы, поэтому счётчики могут отличаться от сайта сегодня. Малая выборка (меньше 50 отзывов) отмечена в «Отзывах». Два отзыва — краткий пересказ конкретных мнений, не средняя позиция всех посетителей. Отзывы водителей и туроператоров подписаны.</x:v>
      </x:c>
      <x:c r="G51" s="4" t="str">
        <x:v>Использованы доступные индексированные страницы, поэтому счётчики могут отличаться от сайта сегодня. Малая выборка (меньше 50 отзывов) отмечена в «Отзывах». Два отзыва — краткий пересказ конкретных мнений, не средняя позиция всех посетителей. Отзывы водителей и туроператоров подписаны.</x:v>
      </x:c>
      <x:c r="H51" s="4" t="str">
        <x:v>Использованы доступные индексированные страницы, поэтому счётчики могут отличаться от сайта сегодня. Малая выборка (меньше 50 отзывов) отмечена в «Отзывах». Два отзыва — краткий пересказ конкретных мнений, не средняя позиция всех посетителей. Отзывы водителей и туроператоров подписаны.</x:v>
      </x:c>
      <x:c r="I51" s="4" t="str">
        <x:v>Использованы доступные индексированные страницы, поэтому счётчики могут отличаться от сайта сегодня. Малая выборка (меньше 50 отзывов) отмечена в «Отзывах». Два отзыва — краткий пересказ конкретных мнений, не средняя позиция всех посетителей. Отзывы водителей и туроператоров подписаны.</x:v>
      </x:c>
      <x:c r="J51" s="4" t="str">
        <x:v>Использованы доступные индексированные страницы, поэтому счётчики могут отличаться от сайта сегодня. Малая выборка (меньше 50 отзывов) отмечена в «Отзывах». Два отзыва — краткий пересказ конкретных мнений, не средняя позиция всех посетителей. Отзывы водителей и туроператоров подписаны.</x:v>
      </x:c>
      <x:c r="K51" s="4" t="str">
        <x:v>Использованы доступные индексированные страницы, поэтому счётчики могут отличаться от сайта сегодня. Малая выборка (меньше 50 отзывов) отмечена в «Отзывах». Два отзыва — краткий пересказ конкретных мнений, не средняя позиция всех посетителей. Отзывы водителей и туроператоров подписаны.</x:v>
      </x:c>
      <x:c r="L51" s="4" t="str">
        <x:v>Использованы доступные индексированные страницы, поэтому счётчики могут отличаться от сайта сегодня. Малая выборка (меньше 50 отзывов) отмечена в «Отзывах». Два отзыва — краткий пересказ конкретных мнений, не средняя позиция всех посетителей. Отзывы водителей и туроператоров подписаны.</x:v>
      </x:c>
      <x:c r="M51" s="4" t="str">
        <x:v>Использованы доступные индексированные страницы, поэтому счётчики могут отличаться от сайта сегодня. Малая выборка (меньше 50 отзывов) отмечена в «Отзывах». Два отзыва — краткий пересказ конкретных мнений, не средняя позиция всех посетителей. Отзывы водителей и туроператоров подписаны.</x:v>
      </x:c>
      <x:c r="N51" s="4" t="str">
        <x:v>Использованы доступные индексированные страницы, поэтому счётчики могут отличаться от сайта сегодня. Малая выборка (меньше 50 отзывов) отмечена в «Отзывах». Два отзыва — краткий пересказ конкретных мнений, не средняя позиция всех посетителей. Отзывы водителей и туроператоров подписаны.</x:v>
      </x:c>
    </x:row>
    <x:row r="52" ht="18.75" customHeight="1">
      <x:c r="A52" s="4" t="str">
        <x:v>Использованы доступные индексированные страницы, поэтому счётчики могут отличаться от сайта сегодня. Малая выборка (меньше 50 отзывов) отмечена в «Отзывах». Два отзыва — краткий пересказ конкретных мнений, не средняя позиция всех посетителей. Отзывы водителей и туроператоров подписаны.</x:v>
      </x:c>
      <x:c r="B52" s="4" t="str">
        <x:v>Использованы доступные индексированные страницы, поэтому счётчики могут отличаться от сайта сегодня. Малая выборка (меньше 50 отзывов) отмечена в «Отзывах». Два отзыва — краткий пересказ конкретных мнений, не средняя позиция всех посетителей. Отзывы водителей и туроператоров подписаны.</x:v>
      </x:c>
      <x:c r="C52" s="4" t="str">
        <x:v>Использованы доступные индексированные страницы, поэтому счётчики могут отличаться от сайта сегодня. Малая выборка (меньше 50 отзывов) отмечена в «Отзывах». Два отзыва — краткий пересказ конкретных мнений, не средняя позиция всех посетителей. Отзывы водителей и туроператоров подписаны.</x:v>
      </x:c>
      <x:c r="D52" s="4" t="str">
        <x:v>Использованы доступные индексированные страницы, поэтому счётчики могут отличаться от сайта сегодня. Малая выборка (меньше 50 отзывов) отмечена в «Отзывах». Два отзыва — краткий пересказ конкретных мнений, не средняя позиция всех посетителей. Отзывы водителей и туроператоров подписаны.</x:v>
      </x:c>
      <x:c r="E52" s="4" t="str">
        <x:v>Использованы доступные индексированные страницы, поэтому счётчики могут отличаться от сайта сегодня. Малая выборка (меньше 50 отзывов) отмечена в «Отзывах». Два отзыва — краткий пересказ конкретных мнений, не средняя позиция всех посетителей. Отзывы водителей и туроператоров подписаны.</x:v>
      </x:c>
      <x:c r="F52" s="4" t="str">
        <x:v>Использованы доступные индексированные страницы, поэтому счётчики могут отличаться от сайта сегодня. Малая выборка (меньше 50 отзывов) отмечена в «Отзывах». Два отзыва — краткий пересказ конкретных мнений, не средняя позиция всех посетителей. Отзывы водителей и туроператоров подписаны.</x:v>
      </x:c>
      <x:c r="G52" s="4" t="str">
        <x:v>Использованы доступные индексированные страницы, поэтому счётчики могут отличаться от сайта сегодня. Малая выборка (меньше 50 отзывов) отмечена в «Отзывах». Два отзыва — краткий пересказ конкретных мнений, не средняя позиция всех посетителей. Отзывы водителей и туроператоров подписаны.</x:v>
      </x:c>
      <x:c r="H52" s="4" t="str">
        <x:v>Использованы доступные индексированные страницы, поэтому счётчики могут отличаться от сайта сегодня. Малая выборка (меньше 50 отзывов) отмечена в «Отзывах». Два отзыва — краткий пересказ конкретных мнений, не средняя позиция всех посетителей. Отзывы водителей и туроператоров подписаны.</x:v>
      </x:c>
      <x:c r="I52" s="4" t="str">
        <x:v>Использованы доступные индексированные страницы, поэтому счётчики могут отличаться от сайта сегодня. Малая выборка (меньше 50 отзывов) отмечена в «Отзывах». Два отзыва — краткий пересказ конкретных мнений, не средняя позиция всех посетителей. Отзывы водителей и туроператоров подписаны.</x:v>
      </x:c>
      <x:c r="J52" s="4" t="str">
        <x:v>Использованы доступные индексированные страницы, поэтому счётчики могут отличаться от сайта сегодня. Малая выборка (меньше 50 отзывов) отмечена в «Отзывах». Два отзыва — краткий пересказ конкретных мнений, не средняя позиция всех посетителей. Отзывы водителей и туроператоров подписаны.</x:v>
      </x:c>
      <x:c r="K52" s="4" t="str">
        <x:v>Использованы доступные индексированные страницы, поэтому счётчики могут отличаться от сайта сегодня. Малая выборка (меньше 50 отзывов) отмечена в «Отзывах». Два отзыва — краткий пересказ конкретных мнений, не средняя позиция всех посетителей. Отзывы водителей и туроператоров подписаны.</x:v>
      </x:c>
      <x:c r="L52" s="4" t="str">
        <x:v>Использованы доступные индексированные страницы, поэтому счётчики могут отличаться от сайта сегодня. Малая выборка (меньше 50 отзывов) отмечена в «Отзывах». Два отзыва — краткий пересказ конкретных мнений, не средняя позиция всех посетителей. Отзывы водителей и туроператоров подписаны.</x:v>
      </x:c>
      <x:c r="M52" s="4" t="str">
        <x:v>Использованы доступные индексированные страницы, поэтому счётчики могут отличаться от сайта сегодня. Малая выборка (меньше 50 отзывов) отмечена в «Отзывах». Два отзыва — краткий пересказ конкретных мнений, не средняя позиция всех посетителей. Отзывы водителей и туроператоров подписаны.</x:v>
      </x:c>
      <x:c r="N52" s="4" t="str">
        <x:v>Использованы доступные индексированные страницы, поэтому счётчики могут отличаться от сайта сегодня. Малая выборка (меньше 50 отзывов) отмечена в «Отзывах». Два отзыва — краткий пересказ конкретных мнений, не средняя позиция всех посетителей. Отзывы водителей и туроператоров подписаны.</x:v>
      </x:c>
    </x:row>
    <x:row r="53" ht="18.75" customHeight="1">
      <x:c r="A53" s="4" t="str">
        <x:v>Использованы доступные индексированные страницы, поэтому счётчики могут отличаться от сайта сегодня. Малая выборка (меньше 50 отзывов) отмечена в «Отзывах». Два отзыва — краткий пересказ конкретных мнений, не средняя позиция всех посетителей. Отзывы водителей и туроператоров подписаны.</x:v>
      </x:c>
      <x:c r="B53" s="4" t="str">
        <x:v>Использованы доступные индексированные страницы, поэтому счётчики могут отличаться от сайта сегодня. Малая выборка (меньше 50 отзывов) отмечена в «Отзывах». Два отзыва — краткий пересказ конкретных мнений, не средняя позиция всех посетителей. Отзывы водителей и туроператоров подписаны.</x:v>
      </x:c>
      <x:c r="C53" s="4" t="str">
        <x:v>Использованы доступные индексированные страницы, поэтому счётчики могут отличаться от сайта сегодня. Малая выборка (меньше 50 отзывов) отмечена в «Отзывах». Два отзыва — краткий пересказ конкретных мнений, не средняя позиция всех посетителей. Отзывы водителей и туроператоров подписаны.</x:v>
      </x:c>
      <x:c r="D53" s="4" t="str">
        <x:v>Использованы доступные индексированные страницы, поэтому счётчики могут отличаться от сайта сегодня. Малая выборка (меньше 50 отзывов) отмечена в «Отзывах». Два отзыва — краткий пересказ конкретных мнений, не средняя позиция всех посетителей. Отзывы водителей и туроператоров подписаны.</x:v>
      </x:c>
      <x:c r="E53" s="4" t="str">
        <x:v>Использованы доступные индексированные страницы, поэтому счётчики могут отличаться от сайта сегодня. Малая выборка (меньше 50 отзывов) отмечена в «Отзывах». Два отзыва — краткий пересказ конкретных мнений, не средняя позиция всех посетителей. Отзывы водителей и туроператоров подписаны.</x:v>
      </x:c>
      <x:c r="F53" s="4" t="str">
        <x:v>Использованы доступные индексированные страницы, поэтому счётчики могут отличаться от сайта сегодня. Малая выборка (меньше 50 отзывов) отмечена в «Отзывах». Два отзыва — краткий пересказ конкретных мнений, не средняя позиция всех посетителей. Отзывы водителей и туроператоров подписаны.</x:v>
      </x:c>
      <x:c r="G53" s="4" t="str">
        <x:v>Использованы доступные индексированные страницы, поэтому счётчики могут отличаться от сайта сегодня. Малая выборка (меньше 50 отзывов) отмечена в «Отзывах». Два отзыва — краткий пересказ конкретных мнений, не средняя позиция всех посетителей. Отзывы водителей и туроператоров подписаны.</x:v>
      </x:c>
      <x:c r="H53" s="4" t="str">
        <x:v>Использованы доступные индексированные страницы, поэтому счётчики могут отличаться от сайта сегодня. Малая выборка (меньше 50 отзывов) отмечена в «Отзывах». Два отзыва — краткий пересказ конкретных мнений, не средняя позиция всех посетителей. Отзывы водителей и туроператоров подписаны.</x:v>
      </x:c>
      <x:c r="I53" s="4" t="str">
        <x:v>Использованы доступные индексированные страницы, поэтому счётчики могут отличаться от сайта сегодня. Малая выборка (меньше 50 отзывов) отмечена в «Отзывах». Два отзыва — краткий пересказ конкретных мнений, не средняя позиция всех посетителей. Отзывы водителей и туроператоров подписаны.</x:v>
      </x:c>
      <x:c r="J53" s="4" t="str">
        <x:v>Использованы доступные индексированные страницы, поэтому счётчики могут отличаться от сайта сегодня. Малая выборка (меньше 50 отзывов) отмечена в «Отзывах». Два отзыва — краткий пересказ конкретных мнений, не средняя позиция всех посетителей. Отзывы водителей и туроператоров подписаны.</x:v>
      </x:c>
      <x:c r="K53" s="4" t="str">
        <x:v>Использованы доступные индексированные страницы, поэтому счётчики могут отличаться от сайта сегодня. Малая выборка (меньше 50 отзывов) отмечена в «Отзывах». Два отзыва — краткий пересказ конкретных мнений, не средняя позиция всех посетителей. Отзывы водителей и туроператоров подписаны.</x:v>
      </x:c>
      <x:c r="L53" s="4" t="str">
        <x:v>Использованы доступные индексированные страницы, поэтому счётчики могут отличаться от сайта сегодня. Малая выборка (меньше 50 отзывов) отмечена в «Отзывах». Два отзыва — краткий пересказ конкретных мнений, не средняя позиция всех посетителей. Отзывы водителей и туроператоров подписаны.</x:v>
      </x:c>
      <x:c r="M53" s="4" t="str">
        <x:v>Использованы доступные индексированные страницы, поэтому счётчики могут отличаться от сайта сегодня. Малая выборка (меньше 50 отзывов) отмечена в «Отзывах». Два отзыва — краткий пересказ конкретных мнений, не средняя позиция всех посетителей. Отзывы водителей и туроператоров подписаны.</x:v>
      </x:c>
      <x:c r="N53" s="4" t="str">
        <x:v>Использованы доступные индексированные страницы, поэтому счётчики могут отличаться от сайта сегодня. Малая выборка (меньше 50 отзывов) отмечена в «Отзывах». Два отзыва — краткий пересказ конкретных мнений, не средняя позиция всех посетителей. Отзывы водителей и туроператоров подписаны.</x:v>
      </x:c>
    </x:row>
    <x:row r="54" ht="18.75" customHeight="1">
      <x:c r="A54" s="4" t="str">
        <x:v>Время визита, нагрузка, ранний/вечерний выезд и метка «Неочевидное» — редакционные ориентиры, без времени в дороге. Тарифы взяты только там, где удалось найти датированное основание; старые суммы подписаны. $ — недорого, $$–$$$ — средний/повышенный уровень по Tripadvisor, не точный чек.</x:v>
      </x:c>
      <x:c r="B54" s="4" t="str">
        <x:v>Время визита, нагрузка, ранний/вечерний выезд и метка «Неочевидное» — редакционные ориентиры, без времени в дороге. Тарифы взяты только там, где удалось найти датированное основание; старые суммы подписаны. $ — недорого, $$–$$$ — средний/повышенный уровень по Tripadvisor, не точный чек.</x:v>
      </x:c>
      <x:c r="C54" s="4" t="str">
        <x:v>Время визита, нагрузка, ранний/вечерний выезд и метка «Неочевидное» — редакционные ориентиры, без времени в дороге. Тарифы взяты только там, где удалось найти датированное основание; старые суммы подписаны. $ — недорого, $$–$$$ — средний/повышенный уровень по Tripadvisor, не точный чек.</x:v>
      </x:c>
      <x:c r="D54" s="4" t="str">
        <x:v>Время визита, нагрузка, ранний/вечерний выезд и метка «Неочевидное» — редакционные ориентиры, без времени в дороге. Тарифы взяты только там, где удалось найти датированное основание; старые суммы подписаны. $ — недорого, $$–$$$ — средний/повышенный уровень по Tripadvisor, не точный чек.</x:v>
      </x:c>
      <x:c r="E54" s="4" t="str">
        <x:v>Время визита, нагрузка, ранний/вечерний выезд и метка «Неочевидное» — редакционные ориентиры, без времени в дороге. Тарифы взяты только там, где удалось найти датированное основание; старые суммы подписаны. $ — недорого, $$–$$$ — средний/повышенный уровень по Tripadvisor, не точный чек.</x:v>
      </x:c>
      <x:c r="F54" s="4" t="str">
        <x:v>Время визита, нагрузка, ранний/вечерний выезд и метка «Неочевидное» — редакционные ориентиры, без времени в дороге. Тарифы взяты только там, где удалось найти датированное основание; старые суммы подписаны. $ — недорого, $$–$$$ — средний/повышенный уровень по Tripadvisor, не точный чек.</x:v>
      </x:c>
      <x:c r="G54" s="4" t="str">
        <x:v>Время визита, нагрузка, ранний/вечерний выезд и метка «Неочевидное» — редакционные ориентиры, без времени в дороге. Тарифы взяты только там, где удалось найти датированное основание; старые суммы подписаны. $ — недорого, $$–$$$ — средний/повышенный уровень по Tripadvisor, не точный чек.</x:v>
      </x:c>
      <x:c r="H54" s="4" t="str">
        <x:v>Время визита, нагрузка, ранний/вечерний выезд и метка «Неочевидное» — редакционные ориентиры, без времени в дороге. Тарифы взяты только там, где удалось найти датированное основание; старые суммы подписаны. $ — недорого, $$–$$$ — средний/повышенный уровень по Tripadvisor, не точный чек.</x:v>
      </x:c>
      <x:c r="I54" s="4" t="str">
        <x:v>Время визита, нагрузка, ранний/вечерний выезд и метка «Неочевидное» — редакционные ориентиры, без времени в дороге. Тарифы взяты только там, где удалось найти датированное основание; старые суммы подписаны. $ — недорого, $$–$$$ — средний/повышенный уровень по Tripadvisor, не точный чек.</x:v>
      </x:c>
      <x:c r="J54" s="4" t="str">
        <x:v>Время визита, нагрузка, ранний/вечерний выезд и метка «Неочевидное» — редакционные ориентиры, без времени в дороге. Тарифы взяты только там, где удалось найти датированное основание; старые суммы подписаны. $ — недорого, $$–$$$ — средний/повышенный уровень по Tripadvisor, не точный чек.</x:v>
      </x:c>
      <x:c r="K54" s="4" t="str">
        <x:v>Время визита, нагрузка, ранний/вечерний выезд и метка «Неочевидное» — редакционные ориентиры, без времени в дороге. Тарифы взяты только там, где удалось найти датированное основание; старые суммы подписаны. $ — недорого, $$–$$$ — средний/повышенный уровень по Tripadvisor, не точный чек.</x:v>
      </x:c>
      <x:c r="L54" s="4" t="str">
        <x:v>Время визита, нагрузка, ранний/вечерний выезд и метка «Неочевидное» — редакционные ориентиры, без времени в дороге. Тарифы взяты только там, где удалось найти датированное основание; старые суммы подписаны. $ — недорого, $$–$$$ — средний/повышенный уровень по Tripadvisor, не точный чек.</x:v>
      </x:c>
      <x:c r="M54" s="4" t="str">
        <x:v>Время визита, нагрузка, ранний/вечерний выезд и метка «Неочевидное» — редакционные ориентиры, без времени в дороге. Тарифы взяты только там, где удалось найти датированное основание; старые суммы подписаны. $ — недорого, $$–$$$ — средний/повышенный уровень по Tripadvisor, не точный чек.</x:v>
      </x:c>
      <x:c r="N54" s="4" t="str">
        <x:v>Время визита, нагрузка, ранний/вечерний выезд и метка «Неочевидное» — редакционные ориентиры, без времени в дороге. Тарифы взяты только там, где удалось найти датированное основание; старые суммы подписаны. $ — недорого, $$–$$$ — средний/повышенный уровень по Tripadvisor, не точный чек.</x:v>
      </x:c>
    </x:row>
    <x:row r="55" ht="18.75" customHeight="1">
      <x:c r="A55" s="4" t="str">
        <x:v>Время визита, нагрузка, ранний/вечерний выезд и метка «Неочевидное» — редакционные ориентиры, без времени в дороге. Тарифы взяты только там, где удалось найти датированное основание; старые суммы подписаны. $ — недорого, $$–$$$ — средний/повышенный уровень по Tripadvisor, не точный чек.</x:v>
      </x:c>
      <x:c r="B55" s="4" t="str">
        <x:v>Время визита, нагрузка, ранний/вечерний выезд и метка «Неочевидное» — редакционные ориентиры, без времени в дороге. Тарифы взяты только там, где удалось найти датированное основание; старые суммы подписаны. $ — недорого, $$–$$$ — средний/повышенный уровень по Tripadvisor, не точный чек.</x:v>
      </x:c>
      <x:c r="C55" s="4" t="str">
        <x:v>Время визита, нагрузка, ранний/вечерний выезд и метка «Неочевидное» — редакционные ориентиры, без времени в дороге. Тарифы взяты только там, где удалось найти датированное основание; старые суммы подписаны. $ — недорого, $$–$$$ — средний/повышенный уровень по Tripadvisor, не точный чек.</x:v>
      </x:c>
      <x:c r="D55" s="4" t="str">
        <x:v>Время визита, нагрузка, ранний/вечерний выезд и метка «Неочевидное» — редакционные ориентиры, без времени в дороге. Тарифы взяты только там, где удалось найти датированное основание; старые суммы подписаны. $ — недорого, $$–$$$ — средний/повышенный уровень по Tripadvisor, не точный чек.</x:v>
      </x:c>
      <x:c r="E55" s="4" t="str">
        <x:v>Время визита, нагрузка, ранний/вечерний выезд и метка «Неочевидное» — редакционные ориентиры, без времени в дороге. Тарифы взяты только там, где удалось найти датированное основание; старые суммы подписаны. $ — недорого, $$–$$$ — средний/повышенный уровень по Tripadvisor, не точный чек.</x:v>
      </x:c>
      <x:c r="F55" s="4" t="str">
        <x:v>Время визита, нагрузка, ранний/вечерний выезд и метка «Неочевидное» — редакционные ориентиры, без времени в дороге. Тарифы взяты только там, где удалось найти датированное основание; старые суммы подписаны. $ — недорого, $$–$$$ — средний/повышенный уровень по Tripadvisor, не точный чек.</x:v>
      </x:c>
      <x:c r="G55" s="4" t="str">
        <x:v>Время визита, нагрузка, ранний/вечерний выезд и метка «Неочевидное» — редакционные ориентиры, без времени в дороге. Тарифы взяты только там, где удалось найти датированное основание; старые суммы подписаны. $ — недорого, $$–$$$ — средний/повышенный уровень по Tripadvisor, не точный чек.</x:v>
      </x:c>
      <x:c r="H55" s="4" t="str">
        <x:v>Время визита, нагрузка, ранний/вечерний выезд и метка «Неочевидное» — редакционные ориентиры, без времени в дороге. Тарифы взяты только там, где удалось найти датированное основание; старые суммы подписаны. $ — недорого, $$–$$$ — средний/повышенный уровень по Tripadvisor, не точный чек.</x:v>
      </x:c>
      <x:c r="I55" s="4" t="str">
        <x:v>Время визита, нагрузка, ранний/вечерний выезд и метка «Неочевидное» — редакционные ориентиры, без времени в дороге. Тарифы взяты только там, где удалось найти датированное основание; старые суммы подписаны. $ — недорого, $$–$$$ — средний/повышенный уровень по Tripadvisor, не точный чек.</x:v>
      </x:c>
      <x:c r="J55" s="4" t="str">
        <x:v>Время визита, нагрузка, ранний/вечерний выезд и метка «Неочевидное» — редакционные ориентиры, без времени в дороге. Тарифы взяты только там, где удалось найти датированное основание; старые суммы подписаны. $ — недорого, $$–$$$ — средний/повышенный уровень по Tripadvisor, не точный чек.</x:v>
      </x:c>
      <x:c r="K55" s="4" t="str">
        <x:v>Время визита, нагрузка, ранний/вечерний выезд и метка «Неочевидное» — редакционные ориентиры, без времени в дороге. Тарифы взяты только там, где удалось найти датированное основание; старые суммы подписаны. $ — недорого, $$–$$$ — средний/повышенный уровень по Tripadvisor, не точный чек.</x:v>
      </x:c>
      <x:c r="L55" s="4" t="str">
        <x:v>Время визита, нагрузка, ранний/вечерний выезд и метка «Неочевидное» — редакционные ориентиры, без времени в дороге. Тарифы взяты только там, где удалось найти датированное основание; старые суммы подписаны. $ — недорого, $$–$$$ — средний/повышенный уровень по Tripadvisor, не точный чек.</x:v>
      </x:c>
      <x:c r="M55" s="4" t="str">
        <x:v>Время визита, нагрузка, ранний/вечерний выезд и метка «Неочевидное» — редакционные ориентиры, без времени в дороге. Тарифы взяты только там, где удалось найти датированное основание; старые суммы подписаны. $ — недорого, $$–$$$ — средний/повышенный уровень по Tripadvisor, не точный чек.</x:v>
      </x:c>
      <x:c r="N55" s="4" t="str">
        <x:v>Время визита, нагрузка, ранний/вечерний выезд и метка «Неочевидное» — редакционные ориентиры, без времени в дороге. Тарифы взяты только там, где удалось найти датированное основание; старые суммы подписаны. $ — недорого, $$–$$$ — средний/повышенный уровень по Tripadvisor, не точный чек.</x:v>
      </x:c>
    </x:row>
    <x:row r="56" ht="18.75" customHeight="1">
      <x:c r="A56" s="4" t="str">
        <x:v>Время визита, нагрузка, ранний/вечерний выезд и метка «Неочевидное» — редакционные ориентиры, без времени в дороге. Тарифы взяты только там, где удалось найти датированное основание; старые суммы подписаны. $ — недорого, $$–$$$ — средний/повышенный уровень по Tripadvisor, не точный чек.</x:v>
      </x:c>
      <x:c r="B56" s="4" t="str">
        <x:v>Время визита, нагрузка, ранний/вечерний выезд и метка «Неочевидное» — редакционные ориентиры, без времени в дороге. Тарифы взяты только там, где удалось найти датированное основание; старые суммы подписаны. $ — недорого, $$–$$$ — средний/повышенный уровень по Tripadvisor, не точный чек.</x:v>
      </x:c>
      <x:c r="C56" s="4" t="str">
        <x:v>Время визита, нагрузка, ранний/вечерний выезд и метка «Неочевидное» — редакционные ориентиры, без времени в дороге. Тарифы взяты только там, где удалось найти датированное основание; старые суммы подписаны. $ — недорого, $$–$$$ — средний/повышенный уровень по Tripadvisor, не точный чек.</x:v>
      </x:c>
      <x:c r="D56" s="4" t="str">
        <x:v>Время визита, нагрузка, ранний/вечерний выезд и метка «Неочевидное» — редакционные ориентиры, без времени в дороге. Тарифы взяты только там, где удалось найти датированное основание; старые суммы подписаны. $ — недорого, $$–$$$ — средний/повышенный уровень по Tripadvisor, не точный чек.</x:v>
      </x:c>
      <x:c r="E56" s="4" t="str">
        <x:v>Время визита, нагрузка, ранний/вечерний выезд и метка «Неочевидное» — редакционные ориентиры, без времени в дороге. Тарифы взяты только там, где удалось найти датированное основание; старые суммы подписаны. $ — недорого, $$–$$$ — средний/повышенный уровень по Tripadvisor, не точный чек.</x:v>
      </x:c>
      <x:c r="F56" s="4" t="str">
        <x:v>Время визита, нагрузка, ранний/вечерний выезд и метка «Неочевидное» — редакционные ориентиры, без времени в дороге. Тарифы взяты только там, где удалось найти датированное основание; старые суммы подписаны. $ — недорого, $$–$$$ — средний/повышенный уровень по Tripadvisor, не точный чек.</x:v>
      </x:c>
      <x:c r="G56" s="4" t="str">
        <x:v>Время визита, нагрузка, ранний/вечерний выезд и метка «Неочевидное» — редакционные ориентиры, без времени в дороге. Тарифы взяты только там, где удалось найти датированное основание; старые суммы подписаны. $ — недорого, $$–$$$ — средний/повышенный уровень по Tripadvisor, не точный чек.</x:v>
      </x:c>
      <x:c r="H56" s="4" t="str">
        <x:v>Время визита, нагрузка, ранний/вечерний выезд и метка «Неочевидное» — редакционные ориентиры, без времени в дороге. Тарифы взяты только там, где удалось найти датированное основание; старые суммы подписаны. $ — недорого, $$–$$$ — средний/повышенный уровень по Tripadvisor, не точный чек.</x:v>
      </x:c>
      <x:c r="I56" s="4" t="str">
        <x:v>Время визита, нагрузка, ранний/вечерний выезд и метка «Неочевидное» — редакционные ориентиры, без времени в дороге. Тарифы взяты только там, где удалось найти датированное основание; старые суммы подписаны. $ — недорого, $$–$$$ — средний/повышенный уровень по Tripadvisor, не точный чек.</x:v>
      </x:c>
      <x:c r="J56" s="4" t="str">
        <x:v>Время визита, нагрузка, ранний/вечерний выезд и метка «Неочевидное» — редакционные ориентиры, без времени в дороге. Тарифы взяты только там, где удалось найти датированное основание; старые суммы подписаны. $ — недорого, $$–$$$ — средний/повышенный уровень по Tripadvisor, не точный чек.</x:v>
      </x:c>
      <x:c r="K56" s="4" t="str">
        <x:v>Время визита, нагрузка, ранний/вечерний выезд и метка «Неочевидное» — редакционные ориентиры, без времени в дороге. Тарифы взяты только там, где удалось найти датированное основание; старые суммы подписаны. $ — недорого, $$–$$$ — средний/повышенный уровень по Tripadvisor, не точный чек.</x:v>
      </x:c>
      <x:c r="L56" s="4" t="str">
        <x:v>Время визита, нагрузка, ранний/вечерний выезд и метка «Неочевидное» — редакционные ориентиры, без времени в дороге. Тарифы взяты только там, где удалось найти датированное основание; старые суммы подписаны. $ — недорого, $$–$$$ — средний/повышенный уровень по Tripadvisor, не точный чек.</x:v>
      </x:c>
      <x:c r="M56" s="4" t="str">
        <x:v>Время визита, нагрузка, ранний/вечерний выезд и метка «Неочевидное» — редакционные ориентиры, без времени в дороге. Тарифы взяты только там, где удалось найти датированное основание; старые суммы подписаны. $ — недорого, $$–$$$ — средний/повышенный уровень по Tripadvisor, не точный чек.</x:v>
      </x:c>
      <x:c r="N56" s="4" t="str">
        <x:v>Время визита, нагрузка, ранний/вечерний выезд и метка «Неочевидное» — редакционные ориентиры, без времени в дороге. Тарифы взяты только там, где удалось найти датированное основание; старые суммы подписаны. $ — недорого, $$–$$$ — средний/повышенный уровень по Tripadvisor, не точный чек.</x:v>
      </x:c>
    </x:row>
    <x:row r="57" ht="18.75" customHeight="1">
      <x:c r="A57" s="4" t="str">
        <x:v>Охват: 69 точек на основном острове и 4 пляжа Нуса-Пениды, куда нужен катер. Это широкая проверенная подборка, а не полный реестр всех мест. Исследованы открытые сайты, форумы и публичный Telegram; закрытые чаты не просматривались. Фотографии архивные, с ссылками на источник.</x:v>
      </x:c>
      <x:c r="B57" s="4" t="str">
        <x:v>Охват: 69 точек на основном острове и 4 пляжа Нуса-Пениды, куда нужен катер. Это широкая проверенная подборка, а не полный реестр всех мест. Исследованы открытые сайты, форумы и публичный Telegram; закрытые чаты не просматривались. Фотографии архивные, с ссылками на источник.</x:v>
      </x:c>
      <x:c r="C57" s="4" t="str">
        <x:v>Охват: 69 точек на основном острове и 4 пляжа Нуса-Пениды, куда нужен катер. Это широкая проверенная подборка, а не полный реестр всех мест. Исследованы открытые сайты, форумы и публичный Telegram; закрытые чаты не просматривались. Фотографии архивные, с ссылками на источник.</x:v>
      </x:c>
      <x:c r="D57" s="4" t="str">
        <x:v>Охват: 69 точек на основном острове и 4 пляжа Нуса-Пениды, куда нужен катер. Это широкая проверенная подборка, а не полный реестр всех мест. Исследованы открытые сайты, форумы и публичный Telegram; закрытые чаты не просматривались. Фотографии архивные, с ссылками на источник.</x:v>
      </x:c>
      <x:c r="E57" s="4" t="str">
        <x:v>Охват: 69 точек на основном острове и 4 пляжа Нуса-Пениды, куда нужен катер. Это широкая проверенная подборка, а не полный реестр всех мест. Исследованы открытые сайты, форумы и публичный Telegram; закрытые чаты не просматривались. Фотографии архивные, с ссылками на источник.</x:v>
      </x:c>
      <x:c r="F57" s="4" t="str">
        <x:v>Охват: 69 точек на основном острове и 4 пляжа Нуса-Пениды, куда нужен катер. Это широкая проверенная подборка, а не полный реестр всех мест. Исследованы открытые сайты, форумы и публичный Telegram; закрытые чаты не просматривались. Фотографии архивные, с ссылками на источник.</x:v>
      </x:c>
      <x:c r="G57" s="4" t="str">
        <x:v>Охват: 69 точек на основном острове и 4 пляжа Нуса-Пениды, куда нужен катер. Это широкая проверенная подборка, а не полный реестр всех мест. Исследованы открытые сайты, форумы и публичный Telegram; закрытые чаты не просматривались. Фотографии архивные, с ссылками на источник.</x:v>
      </x:c>
      <x:c r="H57" s="4" t="str">
        <x:v>Охват: 69 точек на основном острове и 4 пляжа Нуса-Пениды, куда нужен катер. Это широкая проверенная подборка, а не полный реестр всех мест. Исследованы открытые сайты, форумы и публичный Telegram; закрытые чаты не просматривались. Фотографии архивные, с ссылками на источник.</x:v>
      </x:c>
      <x:c r="I57" s="4" t="str">
        <x:v>Охват: 69 точек на основном острове и 4 пляжа Нуса-Пениды, куда нужен катер. Это широкая проверенная подборка, а не полный реестр всех мест. Исследованы открытые сайты, форумы и публичный Telegram; закрытые чаты не просматривались. Фотографии архивные, с ссылками на источник.</x:v>
      </x:c>
      <x:c r="J57" s="4" t="str">
        <x:v>Охват: 69 точек на основном острове и 4 пляжа Нуса-Пениды, куда нужен катер. Это широкая проверенная подборка, а не полный реестр всех мест. Исследованы открытые сайты, форумы и публичный Telegram; закрытые чаты не просматривались. Фотографии архивные, с ссылками на источник.</x:v>
      </x:c>
      <x:c r="K57" s="4" t="str">
        <x:v>Охват: 69 точек на основном острове и 4 пляжа Нуса-Пениды, куда нужен катер. Это широкая проверенная подборка, а не полный реестр всех мест. Исследованы открытые сайты, форумы и публичный Telegram; закрытые чаты не просматривались. Фотографии архивные, с ссылками на источник.</x:v>
      </x:c>
      <x:c r="L57" s="4" t="str">
        <x:v>Охват: 69 точек на основном острове и 4 пляжа Нуса-Пениды, куда нужен катер. Это широкая проверенная подборка, а не полный реестр всех мест. Исследованы открытые сайты, форумы и публичный Telegram; закрытые чаты не просматривались. Фотографии архивные, с ссылками на источник.</x:v>
      </x:c>
      <x:c r="M57" s="4" t="str">
        <x:v>Охват: 69 точек на основном острове и 4 пляжа Нуса-Пениды, куда нужен катер. Это широкая проверенная подборка, а не полный реестр всех мест. Исследованы открытые сайты, форумы и публичный Telegram; закрытые чаты не просматривались. Фотографии архивные, с ссылками на источник.</x:v>
      </x:c>
      <x:c r="N57" s="4" t="str">
        <x:v>Охват: 69 точек на основном острове и 4 пляжа Нуса-Пениды, куда нужен катер. Это широкая проверенная подборка, а не полный реестр всех мест. Исследованы открытые сайты, форумы и публичный Telegram; закрытые чаты не просматривались. Фотографии архивные, с ссылками на источник.</x:v>
      </x:c>
    </x:row>
    <x:row r="58" ht="18.75" customHeight="1">
      <x:c r="A58" s="4" t="str">
        <x:v>Охват: 69 точек на основном острове и 4 пляжа Нуса-Пениды, куда нужен катер. Это широкая проверенная подборка, а не полный реестр всех мест. Исследованы открытые сайты, форумы и публичный Telegram; закрытые чаты не просматривались. Фотографии архивные, с ссылками на источник.</x:v>
      </x:c>
      <x:c r="B58" s="4" t="str">
        <x:v>Охват: 69 точек на основном острове и 4 пляжа Нуса-Пениды, куда нужен катер. Это широкая проверенная подборка, а не полный реестр всех мест. Исследованы открытые сайты, форумы и публичный Telegram; закрытые чаты не просматривались. Фотографии архивные, с ссылками на источник.</x:v>
      </x:c>
      <x:c r="C58" s="4" t="str">
        <x:v>Охват: 69 точек на основном острове и 4 пляжа Нуса-Пениды, куда нужен катер. Это широкая проверенная подборка, а не полный реестр всех мест. Исследованы открытые сайты, форумы и публичный Telegram; закрытые чаты не просматривались. Фотографии архивные, с ссылками на источник.</x:v>
      </x:c>
      <x:c r="D58" s="4" t="str">
        <x:v>Охват: 69 точек на основном острове и 4 пляжа Нуса-Пениды, куда нужен катер. Это широкая проверенная подборка, а не полный реестр всех мест. Исследованы открытые сайты, форумы и публичный Telegram; закрытые чаты не просматривались. Фотографии архивные, с ссылками на источник.</x:v>
      </x:c>
      <x:c r="E58" s="4" t="str">
        <x:v>Охват: 69 точек на основном острове и 4 пляжа Нуса-Пениды, куда нужен катер. Это широкая проверенная подборка, а не полный реестр всех мест. Исследованы открытые сайты, форумы и публичный Telegram; закрытые чаты не просматривались. Фотографии архивные, с ссылками на источник.</x:v>
      </x:c>
      <x:c r="F58" s="4" t="str">
        <x:v>Охват: 69 точек на основном острове и 4 пляжа Нуса-Пениды, куда нужен катер. Это широкая проверенная подборка, а не полный реестр всех мест. Исследованы открытые сайты, форумы и публичный Telegram; закрытые чаты не просматривались. Фотографии архивные, с ссылками на источник.</x:v>
      </x:c>
      <x:c r="G58" s="4" t="str">
        <x:v>Охват: 69 точек на основном острове и 4 пляжа Нуса-Пениды, куда нужен катер. Это широкая проверенная подборка, а не полный реестр всех мест. Исследованы открытые сайты, форумы и публичный Telegram; закрытые чаты не просматривались. Фотографии архивные, с ссылками на источник.</x:v>
      </x:c>
      <x:c r="H58" s="4" t="str">
        <x:v>Охват: 69 точек на основном острове и 4 пляжа Нуса-Пениды, куда нужен катер. Это широкая проверенная подборка, а не полный реестр всех мест. Исследованы открытые сайты, форумы и публичный Telegram; закрытые чаты не просматривались. Фотографии архивные, с ссылками на источник.</x:v>
      </x:c>
      <x:c r="I58" s="4" t="str">
        <x:v>Охват: 69 точек на основном острове и 4 пляжа Нуса-Пениды, куда нужен катер. Это широкая проверенная подборка, а не полный реестр всех мест. Исследованы открытые сайты, форумы и публичный Telegram; закрытые чаты не просматривались. Фотографии архивные, с ссылками на источник.</x:v>
      </x:c>
      <x:c r="J58" s="4" t="str">
        <x:v>Охват: 69 точек на основном острове и 4 пляжа Нуса-Пениды, куда нужен катер. Это широкая проверенная подборка, а не полный реестр всех мест. Исследованы открытые сайты, форумы и публичный Telegram; закрытые чаты не просматривались. Фотографии архивные, с ссылками на источник.</x:v>
      </x:c>
      <x:c r="K58" s="4" t="str">
        <x:v>Охват: 69 точек на основном острове и 4 пляжа Нуса-Пениды, куда нужен катер. Это широкая проверенная подборка, а не полный реестр всех мест. Исследованы открытые сайты, форумы и публичный Telegram; закрытые чаты не просматривались. Фотографии архивные, с ссылками на источник.</x:v>
      </x:c>
      <x:c r="L58" s="4" t="str">
        <x:v>Охват: 69 точек на основном острове и 4 пляжа Нуса-Пениды, куда нужен катер. Это широкая проверенная подборка, а не полный реестр всех мест. Исследованы открытые сайты, форумы и публичный Telegram; закрытые чаты не просматривались. Фотографии архивные, с ссылками на источник.</x:v>
      </x:c>
      <x:c r="M58" s="4" t="str">
        <x:v>Охват: 69 точек на основном острове и 4 пляжа Нуса-Пениды, куда нужен катер. Это широкая проверенная подборка, а не полный реестр всех мест. Исследованы открытые сайты, форумы и публичный Telegram; закрытые чаты не просматривались. Фотографии архивные, с ссылками на источник.</x:v>
      </x:c>
      <x:c r="N58" s="4" t="str">
        <x:v>Охват: 69 точек на основном острове и 4 пляжа Нуса-Пениды, куда нужен катер. Это широкая проверенная подборка, а не полный реестр всех мест. Исследованы открытые сайты, форумы и публичный Telegram; закрытые чаты не просматривались. Фотографии архивные, с ссылками на источник.</x:v>
      </x:c>
    </x:row>
    <x:row r="59" ht="18.75" customHeight="1">
      <x:c r="A59" s="4" t="str">
        <x:v>Охват: 69 точек на основном острове и 4 пляжа Нуса-Пениды, куда нужен катер. Это широкая проверенная подборка, а не полный реестр всех мест. Исследованы открытые сайты, форумы и публичный Telegram; закрытые чаты не просматривались. Фотографии архивные, с ссылками на источник.</x:v>
      </x:c>
      <x:c r="B59" s="4" t="str">
        <x:v>Охват: 69 точек на основном острове и 4 пляжа Нуса-Пениды, куда нужен катер. Это широкая проверенная подборка, а не полный реестр всех мест. Исследованы открытые сайты, форумы и публичный Telegram; закрытые чаты не просматривались. Фотографии архивные, с ссылками на источник.</x:v>
      </x:c>
      <x:c r="C59" s="4" t="str">
        <x:v>Охват: 69 точек на основном острове и 4 пляжа Нуса-Пениды, куда нужен катер. Это широкая проверенная подборка, а не полный реестр всех мест. Исследованы открытые сайты, форумы и публичный Telegram; закрытые чаты не просматривались. Фотографии архивные, с ссылками на источник.</x:v>
      </x:c>
      <x:c r="D59" s="4" t="str">
        <x:v>Охват: 69 точек на основном острове и 4 пляжа Нуса-Пениды, куда нужен катер. Это широкая проверенная подборка, а не полный реестр всех мест. Исследованы открытые сайты, форумы и публичный Telegram; закрытые чаты не просматривались. Фотографии архивные, с ссылками на источник.</x:v>
      </x:c>
      <x:c r="E59" s="4" t="str">
        <x:v>Охват: 69 точек на основном острове и 4 пляжа Нуса-Пениды, куда нужен катер. Это широкая проверенная подборка, а не полный реестр всех мест. Исследованы открытые сайты, форумы и публичный Telegram; закрытые чаты не просматривались. Фотографии архивные, с ссылками на источник.</x:v>
      </x:c>
      <x:c r="F59" s="4" t="str">
        <x:v>Охват: 69 точек на основном острове и 4 пляжа Нуса-Пениды, куда нужен катер. Это широкая проверенная подборка, а не полный реестр всех мест. Исследованы открытые сайты, форумы и публичный Telegram; закрытые чаты не просматривались. Фотографии архивные, с ссылками на источник.</x:v>
      </x:c>
      <x:c r="G59" s="4" t="str">
        <x:v>Охват: 69 точек на основном острове и 4 пляжа Нуса-Пениды, куда нужен катер. Это широкая проверенная подборка, а не полный реестр всех мест. Исследованы открытые сайты, форумы и публичный Telegram; закрытые чаты не просматривались. Фотографии архивные, с ссылками на источник.</x:v>
      </x:c>
      <x:c r="H59" s="4" t="str">
        <x:v>Охват: 69 точек на основном острове и 4 пляжа Нуса-Пениды, куда нужен катер. Это широкая проверенная подборка, а не полный реестр всех мест. Исследованы открытые сайты, форумы и публичный Telegram; закрытые чаты не просматривались. Фотографии архивные, с ссылками на источник.</x:v>
      </x:c>
      <x:c r="I59" s="4" t="str">
        <x:v>Охват: 69 точек на основном острове и 4 пляжа Нуса-Пениды, куда нужен катер. Это широкая проверенная подборка, а не полный реестр всех мест. Исследованы открытые сайты, форумы и публичный Telegram; закрытые чаты не просматривались. Фотографии архивные, с ссылками на источник.</x:v>
      </x:c>
      <x:c r="J59" s="4" t="str">
        <x:v>Охват: 69 точек на основном острове и 4 пляжа Нуса-Пениды, куда нужен катер. Это широкая проверенная подборка, а не полный реестр всех мест. Исследованы открытые сайты, форумы и публичный Telegram; закрытые чаты не просматривались. Фотографии архивные, с ссылками на источник.</x:v>
      </x:c>
      <x:c r="K59" s="4" t="str">
        <x:v>Охват: 69 точек на основном острове и 4 пляжа Нуса-Пениды, куда нужен катер. Это широкая проверенная подборка, а не полный реестр всех мест. Исследованы открытые сайты, форумы и публичный Telegram; закрытые чаты не просматривались. Фотографии архивные, с ссылками на источник.</x:v>
      </x:c>
      <x:c r="L59" s="4" t="str">
        <x:v>Охват: 69 точек на основном острове и 4 пляжа Нуса-Пениды, куда нужен катер. Это широкая проверенная подборка, а не полный реестр всех мест. Исследованы открытые сайты, форумы и публичный Telegram; закрытые чаты не просматривались. Фотографии архивные, с ссылками на источник.</x:v>
      </x:c>
      <x:c r="M59" s="4" t="str">
        <x:v>Охват: 69 точек на основном острове и 4 пляжа Нуса-Пениды, куда нужен катер. Это широкая проверенная подборка, а не полный реестр всех мест. Исследованы открытые сайты, форумы и публичный Telegram; закрытые чаты не просматривались. Фотографии архивные, с ссылками на источник.</x:v>
      </x:c>
      <x:c r="N59" s="4" t="str">
        <x:v>Охват: 69 точек на основном острове и 4 пляжа Нуса-Пениды, куда нужен катер. Это широкая проверенная подборка, а не полный реестр всех мест. Исследованы открытые сайты, форумы и публичный Telegram; закрытые чаты не просматривались. Фотографии архивные, с ссылками на источник.</x:v>
      </x:c>
    </x:row>
    <x:row r="60" ht="18.75" customHeight="1">
      <x:c r="A60" s="4"/>
      <x:c r="B60" s="4"/>
      <x:c r="C60" s="4"/>
      <x:c r="D60" s="4"/>
      <x:c r="E60" s="4"/>
      <x:c r="F60" s="4"/>
      <x:c r="G60" s="4"/>
      <x:c r="H60" s="4"/>
      <x:c r="I60" s="4"/>
      <x:c r="J60" s="4"/>
      <x:c r="K60" s="4"/>
      <x:c r="L60" s="4"/>
      <x:c r="M60" s="4"/>
      <x:c r="N60" s="4"/>
    </x:row>
    <x:row r="61" ht="18.75" customHeight="1">
      <x:c r="A61" s="10" t="str">
        <x:v>ОТКРЫТЫЕ ОБСУЖДЕНИЯ И ПРАКТИЧНЫЕ ПРОВЕРКИ</x:v>
      </x:c>
      <x:c r="B61" s="10" t="str">
        <x:v>ОТКРЫТЫЕ ОБСУЖДЕНИЯ И ПРАКТИЧНЫЕ ПРОВЕРКИ</x:v>
      </x:c>
      <x:c r="C61" s="10" t="str">
        <x:v>ОТКРЫТЫЕ ОБСУЖДЕНИЯ И ПРАКТИЧНЫЕ ПРОВЕРКИ</x:v>
      </x:c>
      <x:c r="D61" s="10" t="str">
        <x:v>ОТКРЫТЫЕ ОБСУЖДЕНИЯ И ПРАКТИЧНЫЕ ПРОВЕРКИ</x:v>
      </x:c>
      <x:c r="E61" s="10" t="str">
        <x:v>ОТКРЫТЫЕ ОБСУЖДЕНИЯ И ПРАКТИЧНЫЕ ПРОВЕРКИ</x:v>
      </x:c>
      <x:c r="F61" s="10" t="str">
        <x:v>ОТКРЫТЫЕ ОБСУЖДЕНИЯ И ПРАКТИЧНЫЕ ПРОВЕРКИ</x:v>
      </x:c>
      <x:c r="G61" s="10" t="str">
        <x:v>ОТКРЫТЫЕ ОБСУЖДЕНИЯ И ПРАКТИЧНЫЕ ПРОВЕРКИ</x:v>
      </x:c>
      <x:c r="H61" s="10" t="str">
        <x:v>ОТКРЫТЫЕ ОБСУЖДЕНИЯ И ПРАКТИЧНЫЕ ПРОВЕРКИ</x:v>
      </x:c>
      <x:c r="I61" s="10" t="str">
        <x:v>ОТКРЫТЫЕ ОБСУЖДЕНИЯ И ПРАКТИЧНЫЕ ПРОВЕРКИ</x:v>
      </x:c>
      <x:c r="J61" s="10" t="str">
        <x:v>ОТКРЫТЫЕ ОБСУЖДЕНИЯ И ПРАКТИЧНЫЕ ПРОВЕРКИ</x:v>
      </x:c>
      <x:c r="K61" s="10" t="str">
        <x:v>ОТКРЫТЫЕ ОБСУЖДЕНИЯ И ПРАКТИЧНЫЕ ПРОВЕРКИ</x:v>
      </x:c>
      <x:c r="L61" s="10" t="str">
        <x:v>ОТКРЫТЫЕ ОБСУЖДЕНИЯ И ПРАКТИЧНЫЕ ПРОВЕРКИ</x:v>
      </x:c>
      <x:c r="M61" s="10" t="str">
        <x:v>ОТКРЫТЫЕ ОБСУЖДЕНИЯ И ПРАКТИЧНЫЕ ПРОВЕРКИ</x:v>
      </x:c>
      <x:c r="N61" s="10" t="str">
        <x:v>ОТКРЫТЫЕ ОБСУЖДЕНИЯ И ПРАКТИЧНЫЕ ПРОВЕРКИ</x:v>
      </x:c>
    </x:row>
    <x:row r="62" ht="18.75" customHeight="1">
      <x:c r="A62" s="11" t="str">
        <x:v>BaliOpen • Telegram</x:v>
      </x:c>
      <x:c r="B62" s="11" t="str">
        <x:v>BaliOpen • Telegram</x:v>
      </x:c>
      <x:c r="C62" s="11" t="str">
        <x:v>BaliOpen • Telegram</x:v>
      </x:c>
      <x:c r="D62" s="11" t="str">
        <x:v>BaliOpen • Telegram</x:v>
      </x:c>
      <x:c r="E62" s="4"/>
      <x:c r="F62" s="4" t="str">
        <x:v>Упоминания Campuhan, Tamblingan и маршрута по северу. Старую пометку «бесплатно» не переносил в актуальные тарифы.</x:v>
      </x:c>
      <x:c r="G62" s="4" t="str">
        <x:v>Упоминания Campuhan, Tamblingan и маршрута по северу. Старую пометку «бесплатно» не переносил в актуальные тарифы.</x:v>
      </x:c>
      <x:c r="H62" s="4" t="str">
        <x:v>Упоминания Campuhan, Tamblingan и маршрута по северу. Старую пометку «бесплатно» не переносил в актуальные тарифы.</x:v>
      </x:c>
      <x:c r="I62" s="4" t="str">
        <x:v>Упоминания Campuhan, Tamblingan и маршрута по северу. Старую пометку «бесплатно» не переносил в актуальные тарифы.</x:v>
      </x:c>
      <x:c r="J62" s="4" t="str">
        <x:v>Упоминания Campuhan, Tamblingan и маршрута по северу. Старую пометку «бесплатно» не переносил в актуальные тарифы.</x:v>
      </x:c>
      <x:c r="K62" s="4" t="str">
        <x:v>Упоминания Campuhan, Tamblingan и маршрута по северу. Старую пометку «бесплатно» не переносил в актуальные тарифы.</x:v>
      </x:c>
      <x:c r="L62" s="4" t="str">
        <x:v>Упоминания Campuhan, Tamblingan и маршрута по северу. Старую пометку «бесплатно» не переносил в актуальные тарифы.</x:v>
      </x:c>
      <x:c r="M62" s="4" t="str">
        <x:v>Упоминания Campuhan, Tamblingan и маршрута по северу. Старую пометку «бесплатно» не переносил в актуальные тарифы.</x:v>
      </x:c>
      <x:c r="N62" s="8" t="str">
        <x:f>HYPERLINK("https://t.me/s/baliopen?before=63","Источник")</x:f>
        <x:v>Источник</x:v>
      </x:c>
    </x:row>
    <x:row r="63" ht="18.75" customHeight="1">
      <x:c r="A63" s="11" t="str">
        <x:v>BaliOpen • Telegram</x:v>
      </x:c>
      <x:c r="B63" s="11" t="str">
        <x:v>BaliOpen • Telegram</x:v>
      </x:c>
      <x:c r="C63" s="11" t="str">
        <x:v>BaliOpen • Telegram</x:v>
      </x:c>
      <x:c r="D63" s="11" t="str">
        <x:v>BaliOpen • Telegram</x:v>
      </x:c>
      <x:c r="E63" s="4"/>
      <x:c r="F63" s="4" t="str">
        <x:v>Упоминания Campuhan, Tamblingan и маршрута по северу. Старую пометку «бесплатно» не переносил в актуальные тарифы.</x:v>
      </x:c>
      <x:c r="G63" s="4" t="str">
        <x:v>Упоминания Campuhan, Tamblingan и маршрута по северу. Старую пометку «бесплатно» не переносил в актуальные тарифы.</x:v>
      </x:c>
      <x:c r="H63" s="4" t="str">
        <x:v>Упоминания Campuhan, Tamblingan и маршрута по северу. Старую пометку «бесплатно» не переносил в актуальные тарифы.</x:v>
      </x:c>
      <x:c r="I63" s="4" t="str">
        <x:v>Упоминания Campuhan, Tamblingan и маршрута по северу. Старую пометку «бесплатно» не переносил в актуальные тарифы.</x:v>
      </x:c>
      <x:c r="J63" s="4" t="str">
        <x:v>Упоминания Campuhan, Tamblingan и маршрута по северу. Старую пометку «бесплатно» не переносил в актуальные тарифы.</x:v>
      </x:c>
      <x:c r="K63" s="4" t="str">
        <x:v>Упоминания Campuhan, Tamblingan и маршрута по северу. Старую пометку «бесплатно» не переносил в актуальные тарифы.</x:v>
      </x:c>
      <x:c r="L63" s="4" t="str">
        <x:v>Упоминания Campuhan, Tamblingan и маршрута по северу. Старую пометку «бесплатно» не переносил в актуальные тарифы.</x:v>
      </x:c>
      <x:c r="M63" s="4" t="str">
        <x:v>Упоминания Campuhan, Tamblingan и маршрута по северу. Старую пометку «бесплатно» не переносил в актуальные тарифы.</x:v>
      </x:c>
      <x:c r="N63" s="4"/>
    </x:row>
    <x:row r="64" ht="18.75" customHeight="1">
      <x:c r="A64" s="4"/>
      <x:c r="B64" s="4"/>
      <x:c r="C64" s="4"/>
      <x:c r="D64" s="4"/>
      <x:c r="E64" s="4"/>
      <x:c r="F64" s="4"/>
      <x:c r="G64" s="4"/>
      <x:c r="H64" s="4"/>
      <x:c r="I64" s="4"/>
      <x:c r="J64" s="4"/>
      <x:c r="K64" s="4"/>
      <x:c r="L64" s="4"/>
      <x:c r="M64" s="4"/>
      <x:c r="N64" s="4"/>
    </x:row>
    <x:row r="65" ht="18.75" customHeight="1">
      <x:c r="A65" s="11" t="str">
        <x:v>Балифорум • Hidden Canyon</x:v>
      </x:c>
      <x:c r="B65" s="11" t="str">
        <x:v>Балифорум • Hidden Canyon</x:v>
      </x:c>
      <x:c r="C65" s="11" t="str">
        <x:v>Балифорум • Hidden Canyon</x:v>
      </x:c>
      <x:c r="D65" s="11" t="str">
        <x:v>Балифорум • Hidden Canyon</x:v>
      </x:c>
      <x:c r="E65" s="4"/>
      <x:c r="F65" s="4" t="str">
        <x:v>Подробности прохода по каньону и зависимости доступа от дождей. Использован как дополнительный источник к №59.</x:v>
      </x:c>
      <x:c r="G65" s="4" t="str">
        <x:v>Подробности прохода по каньону и зависимости доступа от дождей. Использован как дополнительный источник к №59.</x:v>
      </x:c>
      <x:c r="H65" s="4" t="str">
        <x:v>Подробности прохода по каньону и зависимости доступа от дождей. Использован как дополнительный источник к №59.</x:v>
      </x:c>
      <x:c r="I65" s="4" t="str">
        <x:v>Подробности прохода по каньону и зависимости доступа от дождей. Использован как дополнительный источник к №59.</x:v>
      </x:c>
      <x:c r="J65" s="4" t="str">
        <x:v>Подробности прохода по каньону и зависимости доступа от дождей. Использован как дополнительный источник к №59.</x:v>
      </x:c>
      <x:c r="K65" s="4" t="str">
        <x:v>Подробности прохода по каньону и зависимости доступа от дождей. Использован как дополнительный источник к №59.</x:v>
      </x:c>
      <x:c r="L65" s="4" t="str">
        <x:v>Подробности прохода по каньону и зависимости доступа от дождей. Использован как дополнительный источник к №59.</x:v>
      </x:c>
      <x:c r="M65" s="4" t="str">
        <x:v>Подробности прохода по каньону и зависимости доступа от дождей. Использован как дополнительный источник к №59.</x:v>
      </x:c>
      <x:c r="N65" s="8" t="str">
        <x:f>HYPERLINK("https://baliforum.ru/p/skrytyy-kanyon-na-bali","Источник")</x:f>
        <x:v>Источник</x:v>
      </x:c>
    </x:row>
    <x:row r="66" ht="18.75" customHeight="1">
      <x:c r="A66" s="11" t="str">
        <x:v>Балифорум • Hidden Canyon</x:v>
      </x:c>
      <x:c r="B66" s="11" t="str">
        <x:v>Балифорум • Hidden Canyon</x:v>
      </x:c>
      <x:c r="C66" s="11" t="str">
        <x:v>Балифорум • Hidden Canyon</x:v>
      </x:c>
      <x:c r="D66" s="11" t="str">
        <x:v>Балифорум • Hidden Canyon</x:v>
      </x:c>
      <x:c r="E66" s="4"/>
      <x:c r="F66" s="4" t="str">
        <x:v>Подробности прохода по каньону и зависимости доступа от дождей. Использован как дополнительный источник к №59.</x:v>
      </x:c>
      <x:c r="G66" s="4" t="str">
        <x:v>Подробности прохода по каньону и зависимости доступа от дождей. Использован как дополнительный источник к №59.</x:v>
      </x:c>
      <x:c r="H66" s="4" t="str">
        <x:v>Подробности прохода по каньону и зависимости доступа от дождей. Использован как дополнительный источник к №59.</x:v>
      </x:c>
      <x:c r="I66" s="4" t="str">
        <x:v>Подробности прохода по каньону и зависимости доступа от дождей. Использован как дополнительный источник к №59.</x:v>
      </x:c>
      <x:c r="J66" s="4" t="str">
        <x:v>Подробности прохода по каньону и зависимости доступа от дождей. Использован как дополнительный источник к №59.</x:v>
      </x:c>
      <x:c r="K66" s="4" t="str">
        <x:v>Подробности прохода по каньону и зависимости доступа от дождей. Использован как дополнительный источник к №59.</x:v>
      </x:c>
      <x:c r="L66" s="4" t="str">
        <x:v>Подробности прохода по каньону и зависимости доступа от дождей. Использован как дополнительный источник к №59.</x:v>
      </x:c>
      <x:c r="M66" s="4" t="str">
        <x:v>Подробности прохода по каньону и зависимости доступа от дождей. Использован как дополнительный источник к №59.</x:v>
      </x:c>
      <x:c r="N66" s="4"/>
    </x:row>
    <x:row r="67" ht="18.75" customHeight="1">
      <x:c r="A67" s="4"/>
      <x:c r="B67" s="4"/>
      <x:c r="C67" s="4"/>
      <x:c r="D67" s="4"/>
      <x:c r="E67" s="4"/>
      <x:c r="F67" s="4"/>
      <x:c r="G67" s="4"/>
      <x:c r="H67" s="4"/>
      <x:c r="I67" s="4"/>
      <x:c r="J67" s="4"/>
      <x:c r="K67" s="4"/>
      <x:c r="L67" s="4"/>
      <x:c r="M67" s="4"/>
      <x:c r="N67" s="4"/>
    </x:row>
    <x:row r="68" ht="18.75" customHeight="1">
      <x:c r="A68" s="11" t="str">
        <x:v>Балифорум • Banyumala</x:v>
      </x:c>
      <x:c r="B68" s="11" t="str">
        <x:v>Балифорум • Banyumala</x:v>
      </x:c>
      <x:c r="C68" s="11" t="str">
        <x:v>Балифорум • Banyumala</x:v>
      </x:c>
      <x:c r="D68" s="11" t="str">
        <x:v>Балифорум • Banyumala</x:v>
      </x:c>
      <x:c r="E68" s="4"/>
      <x:c r="F68" s="4" t="str">
        <x:v>Тропа, ступени и расположение водопада №5; помогает оценить физическую нагрузку.</x:v>
      </x:c>
      <x:c r="G68" s="4" t="str">
        <x:v>Тропа, ступени и расположение водопада №5; помогает оценить физическую нагрузку.</x:v>
      </x:c>
      <x:c r="H68" s="4" t="str">
        <x:v>Тропа, ступени и расположение водопада №5; помогает оценить физическую нагрузку.</x:v>
      </x:c>
      <x:c r="I68" s="4" t="str">
        <x:v>Тропа, ступени и расположение водопада №5; помогает оценить физическую нагрузку.</x:v>
      </x:c>
      <x:c r="J68" s="4" t="str">
        <x:v>Тропа, ступени и расположение водопада №5; помогает оценить физическую нагрузку.</x:v>
      </x:c>
      <x:c r="K68" s="4" t="str">
        <x:v>Тропа, ступени и расположение водопада №5; помогает оценить физическую нагрузку.</x:v>
      </x:c>
      <x:c r="L68" s="4" t="str">
        <x:v>Тропа, ступени и расположение водопада №5; помогает оценить физическую нагрузку.</x:v>
      </x:c>
      <x:c r="M68" s="4" t="str">
        <x:v>Тропа, ступени и расположение водопада №5; помогает оценить физическую нагрузку.</x:v>
      </x:c>
      <x:c r="N68" s="8" t="str">
        <x:f>HYPERLINK("https://baliforum.ru/places/vodopady-banyumala-twin","Источник")</x:f>
        <x:v>Источник</x:v>
      </x:c>
    </x:row>
    <x:row r="69" ht="18.75" customHeight="1">
      <x:c r="A69" s="11" t="str">
        <x:v>Балифорум • Banyumala</x:v>
      </x:c>
      <x:c r="B69" s="11" t="str">
        <x:v>Балифорум • Banyumala</x:v>
      </x:c>
      <x:c r="C69" s="11" t="str">
        <x:v>Балифорум • Banyumala</x:v>
      </x:c>
      <x:c r="D69" s="11" t="str">
        <x:v>Балифорум • Banyumala</x:v>
      </x:c>
      <x:c r="E69" s="4"/>
      <x:c r="F69" s="4" t="str">
        <x:v>Тропа, ступени и расположение водопада №5; помогает оценить физическую нагрузку.</x:v>
      </x:c>
      <x:c r="G69" s="4" t="str">
        <x:v>Тропа, ступени и расположение водопада №5; помогает оценить физическую нагрузку.</x:v>
      </x:c>
      <x:c r="H69" s="4" t="str">
        <x:v>Тропа, ступени и расположение водопада №5; помогает оценить физическую нагрузку.</x:v>
      </x:c>
      <x:c r="I69" s="4" t="str">
        <x:v>Тропа, ступени и расположение водопада №5; помогает оценить физическую нагрузку.</x:v>
      </x:c>
      <x:c r="J69" s="4" t="str">
        <x:v>Тропа, ступени и расположение водопада №5; помогает оценить физическую нагрузку.</x:v>
      </x:c>
      <x:c r="K69" s="4" t="str">
        <x:v>Тропа, ступени и расположение водопада №5; помогает оценить физическую нагрузку.</x:v>
      </x:c>
      <x:c r="L69" s="4" t="str">
        <x:v>Тропа, ступени и расположение водопада №5; помогает оценить физическую нагрузку.</x:v>
      </x:c>
      <x:c r="M69" s="4" t="str">
        <x:v>Тропа, ступени и расположение водопада №5; помогает оценить физическую нагрузку.</x:v>
      </x:c>
      <x:c r="N69" s="4"/>
    </x:row>
    <x:row r="70" ht="18.75" customHeight="1">
      <x:c r="A70" s="4"/>
      <x:c r="B70" s="4"/>
      <x:c r="C70" s="4"/>
      <x:c r="D70" s="4"/>
      <x:c r="E70" s="4"/>
      <x:c r="F70" s="4"/>
      <x:c r="G70" s="4"/>
      <x:c r="H70" s="4"/>
      <x:c r="I70" s="4"/>
      <x:c r="J70" s="4"/>
      <x:c r="K70" s="4"/>
      <x:c r="L70" s="4"/>
      <x:c r="M70" s="4"/>
      <x:c r="N70" s="4"/>
    </x:row>
    <x:row r="71" ht="18.75" customHeight="1">
      <x:c r="A71" s="11" t="str">
        <x:v>Форум Винского • июнь 2026</x:v>
      </x:c>
      <x:c r="B71" s="11" t="str">
        <x:v>Форум Винского • июнь 2026</x:v>
      </x:c>
      <x:c r="C71" s="11" t="str">
        <x:v>Форум Винского • июнь 2026</x:v>
      </x:c>
      <x:c r="D71" s="11" t="str">
        <x:v>Форум Винского • июнь 2026</x:v>
      </x:c>
      <x:c r="E71" s="4"/>
      <x:c r="F71" s="4" t="str">
        <x:v>Обсуждение маршрута с несколькими водопадами и храмами за день. Это план путешественника, не доказательство проезда всего списка.</x:v>
      </x:c>
      <x:c r="G71" s="4" t="str">
        <x:v>Обсуждение маршрута с несколькими водопадами и храмами за день. Это план путешественника, не доказательство проезда всего списка.</x:v>
      </x:c>
      <x:c r="H71" s="4" t="str">
        <x:v>Обсуждение маршрута с несколькими водопадами и храмами за день. Это план путешественника, не доказательство проезда всего списка.</x:v>
      </x:c>
      <x:c r="I71" s="4" t="str">
        <x:v>Обсуждение маршрута с несколькими водопадами и храмами за день. Это план путешественника, не доказательство проезда всего списка.</x:v>
      </x:c>
      <x:c r="J71" s="4" t="str">
        <x:v>Обсуждение маршрута с несколькими водопадами и храмами за день. Это план путешественника, не доказательство проезда всего списка.</x:v>
      </x:c>
      <x:c r="K71" s="4" t="str">
        <x:v>Обсуждение маршрута с несколькими водопадами и храмами за день. Это план путешественника, не доказательство проезда всего списка.</x:v>
      </x:c>
      <x:c r="L71" s="4" t="str">
        <x:v>Обсуждение маршрута с несколькими водопадами и храмами за день. Это план путешественника, не доказательство проезда всего списка.</x:v>
      </x:c>
      <x:c r="M71" s="4" t="str">
        <x:v>Обсуждение маршрута с несколькими водопадами и храмами за день. Это план путешественника, не доказательство проезда всего списка.</x:v>
      </x:c>
      <x:c r="N71" s="8" t="str">
        <x:f>HYPERLINK("https://forum.awd.ru/viewtopic.php?t=440247","Источник")</x:f>
        <x:v>Источник</x:v>
      </x:c>
    </x:row>
    <x:row r="72" ht="18.75" customHeight="1">
      <x:c r="A72" s="11" t="str">
        <x:v>Форум Винского • июнь 2026</x:v>
      </x:c>
      <x:c r="B72" s="11" t="str">
        <x:v>Форум Винского • июнь 2026</x:v>
      </x:c>
      <x:c r="C72" s="11" t="str">
        <x:v>Форум Винского • июнь 2026</x:v>
      </x:c>
      <x:c r="D72" s="11" t="str">
        <x:v>Форум Винского • июнь 2026</x:v>
      </x:c>
      <x:c r="E72" s="4"/>
      <x:c r="F72" s="4" t="str">
        <x:v>Обсуждение маршрута с несколькими водопадами и храмами за день. Это план путешественника, не доказательство проезда всего списка.</x:v>
      </x:c>
      <x:c r="G72" s="4" t="str">
        <x:v>Обсуждение маршрута с несколькими водопадами и храмами за день. Это план путешественника, не доказательство проезда всего списка.</x:v>
      </x:c>
      <x:c r="H72" s="4" t="str">
        <x:v>Обсуждение маршрута с несколькими водопадами и храмами за день. Это план путешественника, не доказательство проезда всего списка.</x:v>
      </x:c>
      <x:c r="I72" s="4" t="str">
        <x:v>Обсуждение маршрута с несколькими водопадами и храмами за день. Это план путешественника, не доказательство проезда всего списка.</x:v>
      </x:c>
      <x:c r="J72" s="4" t="str">
        <x:v>Обсуждение маршрута с несколькими водопадами и храмами за день. Это план путешественника, не доказательство проезда всего списка.</x:v>
      </x:c>
      <x:c r="K72" s="4" t="str">
        <x:v>Обсуждение маршрута с несколькими водопадами и храмами за день. Это план путешественника, не доказательство проезда всего списка.</x:v>
      </x:c>
      <x:c r="L72" s="4" t="str">
        <x:v>Обсуждение маршрута с несколькими водопадами и храмами за день. Это план путешественника, не доказательство проезда всего списка.</x:v>
      </x:c>
      <x:c r="M72" s="4" t="str">
        <x:v>Обсуждение маршрута с несколькими водопадами и храмами за день. Это план путешественника, не доказательство проезда всего списка.</x:v>
      </x:c>
      <x:c r="N72" s="4"/>
    </x:row>
    <x:row r="73" ht="18.75" customHeight="1">
      <x:c r="A73" s="4"/>
      <x:c r="B73" s="4"/>
      <x:c r="C73" s="4"/>
      <x:c r="D73" s="4"/>
      <x:c r="E73" s="4"/>
      <x:c r="F73" s="4"/>
      <x:c r="G73" s="4"/>
      <x:c r="H73" s="4"/>
      <x:c r="I73" s="4"/>
      <x:c r="J73" s="4"/>
      <x:c r="K73" s="4"/>
      <x:c r="L73" s="4"/>
      <x:c r="M73" s="4"/>
      <x:c r="N73" s="4"/>
    </x:row>
    <x:row r="74" ht="18.75" customHeight="1">
      <x:c r="A74" s="11" t="str">
        <x:v>Bali Untold • Bingin, июнь 2026</x:v>
      </x:c>
      <x:c r="B74" s="11" t="str">
        <x:v>Bali Untold • Bingin, июнь 2026</x:v>
      </x:c>
      <x:c r="C74" s="11" t="str">
        <x:v>Bali Untold • Bingin, июнь 2026</x:v>
      </x:c>
      <x:c r="D74" s="11" t="str">
        <x:v>Bali Untold • Bingin, июнь 2026</x:v>
      </x:c>
      <x:c r="E74" s="4"/>
      <x:c r="F74" s="4" t="str">
        <x:v>Очевидец описывает пляж после сноса. Для №18 старые восторженные отзывы сопоставлены с новым состоянием.</x:v>
      </x:c>
      <x:c r="G74" s="4" t="str">
        <x:v>Очевидец описывает пляж после сноса. Для №18 старые восторженные отзывы сопоставлены с новым состоянием.</x:v>
      </x:c>
      <x:c r="H74" s="4" t="str">
        <x:v>Очевидец описывает пляж после сноса. Для №18 старые восторженные отзывы сопоставлены с новым состоянием.</x:v>
      </x:c>
      <x:c r="I74" s="4" t="str">
        <x:v>Очевидец описывает пляж после сноса. Для №18 старые восторженные отзывы сопоставлены с новым состоянием.</x:v>
      </x:c>
      <x:c r="J74" s="4" t="str">
        <x:v>Очевидец описывает пляж после сноса. Для №18 старые восторженные отзывы сопоставлены с новым состоянием.</x:v>
      </x:c>
      <x:c r="K74" s="4" t="str">
        <x:v>Очевидец описывает пляж после сноса. Для №18 старые восторженные отзывы сопоставлены с новым состоянием.</x:v>
      </x:c>
      <x:c r="L74" s="4" t="str">
        <x:v>Очевидец описывает пляж после сноса. Для №18 старые восторженные отзывы сопоставлены с новым состоянием.</x:v>
      </x:c>
      <x:c r="M74" s="4" t="str">
        <x:v>Очевидец описывает пляж после сноса. Для №18 старые восторженные отзывы сопоставлены с новым состоянием.</x:v>
      </x:c>
      <x:c r="N74" s="8" t="str">
        <x:f>HYPERLINK("https://baliuntold.com/things-to-do/beaches/bingin-beach/","Источник")</x:f>
        <x:v>Источник</x:v>
      </x:c>
    </x:row>
    <x:row r="75" ht="18.75" customHeight="1">
      <x:c r="A75" s="11" t="str">
        <x:v>Bali Untold • Bingin, июнь 2026</x:v>
      </x:c>
      <x:c r="B75" s="11" t="str">
        <x:v>Bali Untold • Bingin, июнь 2026</x:v>
      </x:c>
      <x:c r="C75" s="11" t="str">
        <x:v>Bali Untold • Bingin, июнь 2026</x:v>
      </x:c>
      <x:c r="D75" s="11" t="str">
        <x:v>Bali Untold • Bingin, июнь 2026</x:v>
      </x:c>
      <x:c r="E75" s="4"/>
      <x:c r="F75" s="4" t="str">
        <x:v>Очевидец описывает пляж после сноса. Для №18 старые восторженные отзывы сопоставлены с новым состоянием.</x:v>
      </x:c>
      <x:c r="G75" s="4" t="str">
        <x:v>Очевидец описывает пляж после сноса. Для №18 старые восторженные отзывы сопоставлены с новым состоянием.</x:v>
      </x:c>
      <x:c r="H75" s="4" t="str">
        <x:v>Очевидец описывает пляж после сноса. Для №18 старые восторженные отзывы сопоставлены с новым состоянием.</x:v>
      </x:c>
      <x:c r="I75" s="4" t="str">
        <x:v>Очевидец описывает пляж после сноса. Для №18 старые восторженные отзывы сопоставлены с новым состоянием.</x:v>
      </x:c>
      <x:c r="J75" s="4" t="str">
        <x:v>Очевидец описывает пляж после сноса. Для №18 старые восторженные отзывы сопоставлены с новым состоянием.</x:v>
      </x:c>
      <x:c r="K75" s="4" t="str">
        <x:v>Очевидец описывает пляж после сноса. Для №18 старые восторженные отзывы сопоставлены с новым состоянием.</x:v>
      </x:c>
      <x:c r="L75" s="4" t="str">
        <x:v>Очевидец описывает пляж после сноса. Для №18 старые восторженные отзывы сопоставлены с новым состоянием.</x:v>
      </x:c>
      <x:c r="M75" s="4" t="str">
        <x:v>Очевидец описывает пляж после сноса. Для №18 старые восторженные отзывы сопоставлены с новым состоянием.</x:v>
      </x:c>
      <x:c r="N75" s="4"/>
    </x:row>
    <x:row r="76" ht="18.75" customHeight="1">
      <x:c r="A76" s="4"/>
      <x:c r="B76" s="4"/>
      <x:c r="C76" s="4"/>
      <x:c r="D76" s="4"/>
      <x:c r="E76" s="4"/>
      <x:c r="F76" s="4"/>
      <x:c r="G76" s="4"/>
      <x:c r="H76" s="4"/>
      <x:c r="I76" s="4"/>
      <x:c r="J76" s="4"/>
      <x:c r="K76" s="4"/>
      <x:c r="L76" s="4"/>
      <x:c r="M76" s="4"/>
      <x:c r="N76" s="4"/>
    </x:row>
    <x:row r="77" ht="18.75" customHeight="1">
      <x:c r="A77" s="11" t="str">
        <x:v>Reddit • Bingin, сентябрь 2026</x:v>
      </x:c>
      <x:c r="B77" s="11" t="str">
        <x:v>Reddit • Bingin, сентябрь 2026</x:v>
      </x:c>
      <x:c r="C77" s="11" t="str">
        <x:v>Reddit • Bingin, сентябрь 2026</x:v>
      </x:c>
      <x:c r="D77" s="11" t="str">
        <x:v>Reddit • Bingin, сентябрь 2026</x:v>
      </x:c>
      <x:c r="E77" s="4"/>
      <x:c r="F77" s="4" t="str">
        <x:v>Свежий публичный вопрос о поездке с пожилыми родителями: повод отдельно проверять доступ и лестницы, не источник числового рейтинга.</x:v>
      </x:c>
      <x:c r="G77" s="4" t="str">
        <x:v>Свежий публичный вопрос о поездке с пожилыми родителями: повод отдельно проверять доступ и лестницы, не источник числового рейтинга.</x:v>
      </x:c>
      <x:c r="H77" s="4" t="str">
        <x:v>Свежий публичный вопрос о поездке с пожилыми родителями: повод отдельно проверять доступ и лестницы, не источник числового рейтинга.</x:v>
      </x:c>
      <x:c r="I77" s="4" t="str">
        <x:v>Свежий публичный вопрос о поездке с пожилыми родителями: повод отдельно проверять доступ и лестницы, не источник числового рейтинга.</x:v>
      </x:c>
      <x:c r="J77" s="4" t="str">
        <x:v>Свежий публичный вопрос о поездке с пожилыми родителями: повод отдельно проверять доступ и лестницы, не источник числового рейтинга.</x:v>
      </x:c>
      <x:c r="K77" s="4" t="str">
        <x:v>Свежий публичный вопрос о поездке с пожилыми родителями: повод отдельно проверять доступ и лестницы, не источник числового рейтинга.</x:v>
      </x:c>
      <x:c r="L77" s="4" t="str">
        <x:v>Свежий публичный вопрос о поездке с пожилыми родителями: повод отдельно проверять доступ и лестницы, не источник числового рейтинга.</x:v>
      </x:c>
      <x:c r="M77" s="4" t="str">
        <x:v>Свежий публичный вопрос о поездке с пожилыми родителями: повод отдельно проверять доступ и лестницы, не источник числового рейтинга.</x:v>
      </x:c>
      <x:c r="N77" s="8" t="str">
        <x:f>HYPERLINK("https://www.reddit.com/r/bali/comments/1wgsisc/is_bingin_a_good_idea_for_older_parents_with/","Источник")</x:f>
        <x:v>Источник</x:v>
      </x:c>
    </x:row>
    <x:row r="78" ht="18.75" customHeight="1">
      <x:c r="A78" s="11" t="str">
        <x:v>Reddit • Bingin, сентябрь 2026</x:v>
      </x:c>
      <x:c r="B78" s="11" t="str">
        <x:v>Reddit • Bingin, сентябрь 2026</x:v>
      </x:c>
      <x:c r="C78" s="11" t="str">
        <x:v>Reddit • Bingin, сентябрь 2026</x:v>
      </x:c>
      <x:c r="D78" s="11" t="str">
        <x:v>Reddit • Bingin, сентябрь 2026</x:v>
      </x:c>
      <x:c r="E78" s="4"/>
      <x:c r="F78" s="4" t="str">
        <x:v>Свежий публичный вопрос о поездке с пожилыми родителями: повод отдельно проверять доступ и лестницы, не источник числового рейтинга.</x:v>
      </x:c>
      <x:c r="G78" s="4" t="str">
        <x:v>Свежий публичный вопрос о поездке с пожилыми родителями: повод отдельно проверять доступ и лестницы, не источник числового рейтинга.</x:v>
      </x:c>
      <x:c r="H78" s="4" t="str">
        <x:v>Свежий публичный вопрос о поездке с пожилыми родителями: повод отдельно проверять доступ и лестницы, не источник числового рейтинга.</x:v>
      </x:c>
      <x:c r="I78" s="4" t="str">
        <x:v>Свежий публичный вопрос о поездке с пожилыми родителями: повод отдельно проверять доступ и лестницы, не источник числового рейтинга.</x:v>
      </x:c>
      <x:c r="J78" s="4" t="str">
        <x:v>Свежий публичный вопрос о поездке с пожилыми родителями: повод отдельно проверять доступ и лестницы, не источник числового рейтинга.</x:v>
      </x:c>
      <x:c r="K78" s="4" t="str">
        <x:v>Свежий публичный вопрос о поездке с пожилыми родителями: повод отдельно проверять доступ и лестницы, не источник числового рейтинга.</x:v>
      </x:c>
      <x:c r="L78" s="4" t="str">
        <x:v>Свежий публичный вопрос о поездке с пожилыми родителями: повод отдельно проверять доступ и лестницы, не источник числового рейтинга.</x:v>
      </x:c>
      <x:c r="M78" s="4" t="str">
        <x:v>Свежий публичный вопрос о поездке с пожилыми родителями: повод отдельно проверять доступ и лестницы, не источник числового рейтинга.</x:v>
      </x:c>
      <x:c r="N78" s="4"/>
    </x:row>
    <x:row r="79" ht="18.75" customHeight="1">
      <x:c r="A79" s="4"/>
      <x:c r="B79" s="4"/>
      <x:c r="C79" s="4"/>
      <x:c r="D79" s="4"/>
      <x:c r="E79" s="4"/>
      <x:c r="F79" s="4"/>
      <x:c r="G79" s="4"/>
      <x:c r="H79" s="4"/>
      <x:c r="I79" s="4"/>
      <x:c r="J79" s="4"/>
      <x:c r="K79" s="4"/>
      <x:c r="L79" s="4"/>
      <x:c r="M79" s="4"/>
      <x:c r="N79" s="4"/>
    </x:row>
    <x:row r="80" ht="18.75" customHeight="1">
      <x:c r="A80" s="4"/>
      <x:c r="B80" s="4"/>
      <x:c r="C80" s="4"/>
      <x:c r="D80" s="4"/>
      <x:c r="E80" s="4"/>
      <x:c r="F80" s="4"/>
      <x:c r="G80" s="4"/>
      <x:c r="H80" s="4"/>
      <x:c r="I80" s="4"/>
      <x:c r="J80" s="4"/>
      <x:c r="K80" s="4"/>
      <x:c r="L80" s="4"/>
      <x:c r="M80" s="4"/>
      <x:c r="N80" s="4"/>
    </x:row>
  </x:sheetData>
  <x:mergeCells>
    <x:mergeCell ref="A2:N4"/>
    <x:mergeCell ref="A5:N6"/>
    <x:mergeCell ref="A17:D17"/>
    <x:mergeCell ref="F17:I17"/>
    <x:mergeCell ref="K17:N17"/>
    <x:mergeCell ref="A19:D19"/>
    <x:mergeCell ref="F19:I19"/>
    <x:mergeCell ref="K19:N19"/>
    <x:mergeCell ref="A21:N21"/>
    <x:mergeCell ref="A22:N23"/>
    <x:mergeCell ref="A24:N25"/>
    <x:mergeCell ref="A27:N27"/>
    <x:mergeCell ref="A28:D29"/>
    <x:mergeCell ref="F28:M29"/>
    <x:mergeCell ref="A31:D32"/>
    <x:mergeCell ref="F31:M32"/>
    <x:mergeCell ref="A34:D35"/>
    <x:mergeCell ref="F34:M35"/>
    <x:mergeCell ref="A37:D38"/>
    <x:mergeCell ref="F37:M38"/>
    <x:mergeCell ref="A40:D41"/>
    <x:mergeCell ref="F40:M41"/>
    <x:mergeCell ref="A43:D44"/>
    <x:mergeCell ref="F43:M44"/>
    <x:mergeCell ref="A47:N47"/>
    <x:mergeCell ref="A48:N50"/>
    <x:mergeCell ref="A51:N53"/>
    <x:mergeCell ref="A54:N56"/>
    <x:mergeCell ref="A57:N59"/>
    <x:mergeCell ref="A61:N61"/>
    <x:mergeCell ref="A62:D63"/>
    <x:mergeCell ref="F62:M63"/>
    <x:mergeCell ref="A65:D66"/>
    <x:mergeCell ref="F65:M66"/>
    <x:mergeCell ref="A68:D69"/>
    <x:mergeCell ref="F68:M69"/>
    <x:mergeCell ref="A71:D72"/>
    <x:mergeCell ref="F71:M72"/>
    <x:mergeCell ref="A74:D75"/>
    <x:mergeCell ref="F74:M75"/>
    <x:mergeCell ref="A77:D78"/>
    <x:mergeCell ref="F77:M78"/>
  </x:mergeCells>
  <x:pageMargins left="0.7" right="0.7" top="0.75" bottom="0.75" header="0.3" footer="0.3"/>
  <x:drawing xmlns:r="http://schemas.openxmlformats.org/officeDocument/2006/relationships" r:id="R9b077ca5af8d42a4"/>
</x:worksheet>
</file>

<file path=xl/worksheets/sheet2.xml><?xml version="1.0" encoding="utf-8"?>
<x:worksheet xmlns:x="http://schemas.openxmlformats.org/spreadsheetml/2006/main">
  <x:sheetPr>
    <x:tabColor rgb="FF24665C"/>
  </x:sheetPr>
  <x:sheetViews>
    <x:sheetView showGridLines="0" workbookViewId="0">
      <x:pane xSplit="3" ySplit="10" topLeftCell="D11" activePane="bottomRight" state="frozen"/>
    </x:sheetView>
  </x:sheetViews>
  <x:sheetFormatPr defaultRowHeight="15"/>
  <x:cols>
    <x:col min="1" max="1" width="5.329999923706055" hidden="0" customWidth="1"/>
    <x:col min="2" max="2" width="5" hidden="0" customWidth="1"/>
    <x:col min="3" max="3" width="26.670000076293945" hidden="0" customWidth="1"/>
    <x:col min="4" max="4" width="12.220000267028809" hidden="0" customWidth="1"/>
    <x:col min="5" max="5" width="11.670000076293945" hidden="0" customWidth="1"/>
    <x:col min="6" max="6" width="7.21999979019165" hidden="0" customWidth="1"/>
    <x:col min="7" max="7" width="10.220000267028809" hidden="0" customWidth="1"/>
    <x:col min="8" max="8" width="35.560001373291016" hidden="0" customWidth="1"/>
    <x:col min="9" max="9" width="13.890000343322754" hidden="0" customWidth="1"/>
    <x:col min="10" max="10" width="11.109999656677246" hidden="0" customWidth="1"/>
    <x:col min="11" max="11" width="10" hidden="0" customWidth="1"/>
    <x:col min="12" max="12" width="23.889999389648438" hidden="0" customWidth="1"/>
    <x:col min="13" max="13" width="10.5600004196167" hidden="0" customWidth="1"/>
    <x:col min="14" max="14" width="9.4399995803833" hidden="0" customWidth="1"/>
    <x:col min="15" max="15" width="10.5600004196167" hidden="0" customWidth="1"/>
    <x:col min="16" max="16" width="12.220000267028809" hidden="0" customWidth="1"/>
  </x:cols>
  <x:sheetData>
    <x:row r="1" ht="18.75" customHeight="1">
      <x:c r="A1" s="12" t="str">
        <x:v>МЕСТА БАЛИ  /  СРАВНЕНИЕ</x:v>
      </x:c>
      <x:c r="B1" s="12" t="str">
        <x:v>МЕСТА БАЛИ  /  СРАВНЕНИЕ</x:v>
      </x:c>
      <x:c r="C1" s="12" t="str">
        <x:v>МЕСТА БАЛИ  /  СРАВНЕНИЕ</x:v>
      </x:c>
      <x:c r="D1" s="12" t="str">
        <x:v>МЕСТА БАЛИ  /  СРАВНЕНИЕ</x:v>
      </x:c>
      <x:c r="E1" s="12" t="str">
        <x:v>МЕСТА БАЛИ  /  СРАВНЕНИЕ</x:v>
      </x:c>
      <x:c r="F1" s="12" t="str">
        <x:v>МЕСТА БАЛИ  /  СРАВНЕНИЕ</x:v>
      </x:c>
      <x:c r="G1" s="12" t="str">
        <x:v>МЕСТА БАЛИ  /  СРАВНЕНИЕ</x:v>
      </x:c>
      <x:c r="H1" s="12" t="str">
        <x:v>МЕСТА БАЛИ  /  СРАВНЕНИЕ</x:v>
      </x:c>
      <x:c r="I1" s="12" t="str">
        <x:v>МЕСТА БАЛИ  /  СРАВНЕНИЕ</x:v>
      </x:c>
      <x:c r="J1" s="12" t="str">
        <x:v>МЕСТА БАЛИ  /  СРАВНЕНИЕ</x:v>
      </x:c>
      <x:c r="K1" s="12" t="str">
        <x:v>МЕСТА БАЛИ  /  СРАВНЕНИЕ</x:v>
      </x:c>
      <x:c r="L1" s="4"/>
      <x:c r="M1" s="4"/>
      <x:c r="N1" s="4"/>
      <x:c r="O1" s="4"/>
      <x:c r="P1" s="4"/>
    </x:row>
    <x:row r="2" ht="18.75" customHeight="1">
      <x:c r="A2" s="12" t="str">
        <x:v>МЕСТА БАЛИ  /  СРАВНЕНИЕ</x:v>
      </x:c>
      <x:c r="B2" s="12" t="str">
        <x:v>МЕСТА БАЛИ  /  СРАВНЕНИЕ</x:v>
      </x:c>
      <x:c r="C2" s="12" t="str">
        <x:v>МЕСТА БАЛИ  /  СРАВНЕНИЕ</x:v>
      </x:c>
      <x:c r="D2" s="12" t="str">
        <x:v>МЕСТА БАЛИ  /  СРАВНЕНИЕ</x:v>
      </x:c>
      <x:c r="E2" s="12" t="str">
        <x:v>МЕСТА БАЛИ  /  СРАВНЕНИЕ</x:v>
      </x:c>
      <x:c r="F2" s="12" t="str">
        <x:v>МЕСТА БАЛИ  /  СРАВНЕНИЕ</x:v>
      </x:c>
      <x:c r="G2" s="12" t="str">
        <x:v>МЕСТА БАЛИ  /  СРАВНЕНИЕ</x:v>
      </x:c>
      <x:c r="H2" s="12" t="str">
        <x:v>МЕСТА БАЛИ  /  СРАВНЕНИЕ</x:v>
      </x:c>
      <x:c r="I2" s="12" t="str">
        <x:v>МЕСТА БАЛИ  /  СРАВНЕНИЕ</x:v>
      </x:c>
      <x:c r="J2" s="12" t="str">
        <x:v>МЕСТА БАЛИ  /  СРАВНЕНИЕ</x:v>
      </x:c>
      <x:c r="K2" s="12" t="str">
        <x:v>МЕСТА БАЛИ  /  СРАВНЕНИЕ</x:v>
      </x:c>
      <x:c r="L2" s="4"/>
      <x:c r="M2" s="4"/>
      <x:c r="N2" s="4"/>
      <x:c r="O2" s="4"/>
      <x:c r="P2" s="4"/>
    </x:row>
    <x:row r="3" ht="18.75" customHeight="1">
      <x:c r="A3" s="13" t="str">
        <x:v>Сортировка по популярности: число отзывов Tripadvisor. Рейтинг гостей — отдельно. ID совпадает с номером на карте. №56 — Google через Wanderlog, без общего ранга.</x:v>
      </x:c>
      <x:c r="B3" s="13" t="str">
        <x:v>Сортировка по популярности: число отзывов Tripadvisor. Рейтинг гостей — отдельно. ID совпадает с номером на карте. №56 — Google через Wanderlog, без общего ранга.</x:v>
      </x:c>
      <x:c r="C3" s="13" t="str">
        <x:v>Сортировка по популярности: число отзывов Tripadvisor. Рейтинг гостей — отдельно. ID совпадает с номером на карте. №56 — Google через Wanderlog, без общего ранга.</x:v>
      </x:c>
      <x:c r="D3" s="13" t="str">
        <x:v>Сортировка по популярности: число отзывов Tripadvisor. Рейтинг гостей — отдельно. ID совпадает с номером на карте. №56 — Google через Wanderlog, без общего ранга.</x:v>
      </x:c>
      <x:c r="E3" s="13" t="str">
        <x:v>Сортировка по популярности: число отзывов Tripadvisor. Рейтинг гостей — отдельно. ID совпадает с номером на карте. №56 — Google через Wanderlog, без общего ранга.</x:v>
      </x:c>
      <x:c r="F3" s="13" t="str">
        <x:v>Сортировка по популярности: число отзывов Tripadvisor. Рейтинг гостей — отдельно. ID совпадает с номером на карте. №56 — Google через Wanderlog, без общего ранга.</x:v>
      </x:c>
      <x:c r="G3" s="13" t="str">
        <x:v>Сортировка по популярности: число отзывов Tripadvisor. Рейтинг гостей — отдельно. ID совпадает с номером на карте. №56 — Google через Wanderlog, без общего ранга.</x:v>
      </x:c>
      <x:c r="H3" s="13" t="str">
        <x:v>Сортировка по популярности: число отзывов Tripadvisor. Рейтинг гостей — отдельно. ID совпадает с номером на карте. №56 — Google через Wanderlog, без общего ранга.</x:v>
      </x:c>
      <x:c r="I3" s="13" t="str">
        <x:v>Сортировка по популярности: число отзывов Tripadvisor. Рейтинг гостей — отдельно. ID совпадает с номером на карте. №56 — Google через Wanderlog, без общего ранга.</x:v>
      </x:c>
      <x:c r="J3" s="13" t="str">
        <x:v>Сортировка по популярности: число отзывов Tripadvisor. Рейтинг гостей — отдельно. ID совпадает с номером на карте. №56 — Google через Wanderlog, без общего ранга.</x:v>
      </x:c>
      <x:c r="K3" s="13" t="str">
        <x:v>Сортировка по популярности: число отзывов Tripadvisor. Рейтинг гостей — отдельно. ID совпадает с номером на карте. №56 — Google через Wanderlog, без общего ранга.</x:v>
      </x:c>
      <x:c r="L3" s="13" t="str">
        <x:v>Сортировка по популярности: число отзывов Tripadvisor. Рейтинг гостей — отдельно. ID совпадает с номером на карте. №56 — Google через Wanderlog, без общего ранга.</x:v>
      </x:c>
      <x:c r="M3" s="13" t="str">
        <x:v>Сортировка по популярности: число отзывов Tripadvisor. Рейтинг гостей — отдельно. ID совпадает с номером на карте. №56 — Google через Wanderlog, без общего ранга.</x:v>
      </x:c>
      <x:c r="N3" s="13" t="str">
        <x:v>Сортировка по популярности: число отзывов Tripadvisor. Рейтинг гостей — отдельно. ID совпадает с номером на карте. №56 — Google через Wanderlog, без общего ранга.</x:v>
      </x:c>
      <x:c r="O3" s="13" t="str">
        <x:v>Сортировка по популярности: число отзывов Tripadvisor. Рейтинг гостей — отдельно. ID совпадает с номером на карте. №56 — Google через Wanderlog, без общего ранга.</x:v>
      </x:c>
      <x:c r="P3" s="13" t="str">
        <x:v>Сортировка по популярности: число отзывов Tripadvisor. Рейтинг гостей — отдельно. ID совпадает с номером на карте. №56 — Google через Wanderlog, без общего ранга.</x:v>
      </x:c>
    </x:row>
    <x:row r="4" ht="18.75" customHeight="1">
      <x:c r="A4" s="13" t="str">
        <x:v>Сортировка по популярности: число отзывов Tripadvisor. Рейтинг гостей — отдельно. ID совпадает с номером на карте. №56 — Google через Wanderlog, без общего ранга.</x:v>
      </x:c>
      <x:c r="B4" s="13" t="str">
        <x:v>Сортировка по популярности: число отзывов Tripadvisor. Рейтинг гостей — отдельно. ID совпадает с номером на карте. №56 — Google через Wanderlog, без общего ранга.</x:v>
      </x:c>
      <x:c r="C4" s="13" t="str">
        <x:v>Сортировка по популярности: число отзывов Tripadvisor. Рейтинг гостей — отдельно. ID совпадает с номером на карте. №56 — Google через Wanderlog, без общего ранга.</x:v>
      </x:c>
      <x:c r="D4" s="13" t="str">
        <x:v>Сортировка по популярности: число отзывов Tripadvisor. Рейтинг гостей — отдельно. ID совпадает с номером на карте. №56 — Google через Wanderlog, без общего ранга.</x:v>
      </x:c>
      <x:c r="E4" s="13" t="str">
        <x:v>Сортировка по популярности: число отзывов Tripadvisor. Рейтинг гостей — отдельно. ID совпадает с номером на карте. №56 — Google через Wanderlog, без общего ранга.</x:v>
      </x:c>
      <x:c r="F4" s="13" t="str">
        <x:v>Сортировка по популярности: число отзывов Tripadvisor. Рейтинг гостей — отдельно. ID совпадает с номером на карте. №56 — Google через Wanderlog, без общего ранга.</x:v>
      </x:c>
      <x:c r="G4" s="13" t="str">
        <x:v>Сортировка по популярности: число отзывов Tripadvisor. Рейтинг гостей — отдельно. ID совпадает с номером на карте. №56 — Google через Wanderlog, без общего ранга.</x:v>
      </x:c>
      <x:c r="H4" s="13" t="str">
        <x:v>Сортировка по популярности: число отзывов Tripadvisor. Рейтинг гостей — отдельно. ID совпадает с номером на карте. №56 — Google через Wanderlog, без общего ранга.</x:v>
      </x:c>
      <x:c r="I4" s="13" t="str">
        <x:v>Сортировка по популярности: число отзывов Tripadvisor. Рейтинг гостей — отдельно. ID совпадает с номером на карте. №56 — Google через Wanderlog, без общего ранга.</x:v>
      </x:c>
      <x:c r="J4" s="13" t="str">
        <x:v>Сортировка по популярности: число отзывов Tripadvisor. Рейтинг гостей — отдельно. ID совпадает с номером на карте. №56 — Google через Wanderlog, без общего ранга.</x:v>
      </x:c>
      <x:c r="K4" s="13" t="str">
        <x:v>Сортировка по популярности: число отзывов Tripadvisor. Рейтинг гостей — отдельно. ID совпадает с номером на карте. №56 — Google через Wanderlog, без общего ранга.</x:v>
      </x:c>
      <x:c r="L4" s="13" t="str">
        <x:v>Сортировка по популярности: число отзывов Tripadvisor. Рейтинг гостей — отдельно. ID совпадает с номером на карте. №56 — Google через Wanderlog, без общего ранга.</x:v>
      </x:c>
      <x:c r="M4" s="13" t="str">
        <x:v>Сортировка по популярности: число отзывов Tripadvisor. Рейтинг гостей — отдельно. ID совпадает с номером на карте. №56 — Google через Wanderlog, без общего ранга.</x:v>
      </x:c>
      <x:c r="N4" s="13" t="str">
        <x:v>Сортировка по популярности: число отзывов Tripadvisor. Рейтинг гостей — отдельно. ID совпадает с номером на карте. №56 — Google через Wanderlog, без общего ранга.</x:v>
      </x:c>
      <x:c r="O4" s="13" t="str">
        <x:v>Сортировка по популярности: число отзывов Tripadvisor. Рейтинг гостей — отдельно. ID совпадает с номером на карте. №56 — Google через Wanderlog, без общего ранга.</x:v>
      </x:c>
      <x:c r="P4" s="13" t="str">
        <x:v>Сортировка по популярности: число отзывов Tripadvisor. Рейтинг гостей — отдельно. ID совпадает с номером на карте. №56 — Google через Wanderlog, без общего ранга.</x:v>
      </x:c>
    </x:row>
    <x:row r="5" ht="18.75" customHeight="1">
      <x:c r="A5" s="4"/>
      <x:c r="B5" s="4"/>
      <x:c r="C5" s="4"/>
      <x:c r="D5" s="4"/>
      <x:c r="E5" s="4"/>
      <x:c r="F5" s="4"/>
      <x:c r="G5" s="4"/>
      <x:c r="H5" s="4"/>
      <x:c r="I5" s="4"/>
      <x:c r="J5" s="4"/>
      <x:c r="K5" s="4"/>
      <x:c r="L5" s="4"/>
      <x:c r="M5" s="4"/>
      <x:c r="N5" s="4"/>
      <x:c r="O5" s="4"/>
      <x:c r="P5" s="4"/>
    </x:row>
    <x:row r="6" ht="18.75" customHeight="1">
      <x:c r="A6" s="8" t="str">
        <x:f>HYPERLINK("#'Начать здесь'!A1","Как выбрать")</x:f>
        <x:v>Как выбрать</x:v>
      </x:c>
      <x:c r="B6" s="4"/>
      <x:c r="C6" s="4"/>
      <x:c r="D6" s="8" t="str">
        <x:f>HYPERLINK("#'Фото'!A1","Фотокаталог")</x:f>
        <x:v>Фотокаталог</x:v>
      </x:c>
      <x:c r="E6" s="4"/>
      <x:c r="F6" s="8" t="str">
        <x:f>HYPERLINK("#'Карта'!A1","Карта →")</x:f>
        <x:v>Карта →</x:v>
      </x:c>
      <x:c r="G6" s="4"/>
      <x:c r="H6" s="4"/>
      <x:c r="I6" s="4"/>
      <x:c r="J6" s="8" t="str">
        <x:f>HYPERLINK("#'Места'!A87","Карта под таблицей ↓")</x:f>
        <x:v>Карта под таблицей ↓</x:v>
      </x:c>
      <x:c r="K6" s="4"/>
      <x:c r="L6" s="4"/>
      <x:c r="M6" s="4"/>
      <x:c r="N6" s="4"/>
      <x:c r="O6" s="4"/>
      <x:c r="P6" s="4"/>
    </x:row>
    <x:row r="7" ht="18.75" customHeight="1">
      <x:c r="A7" s="4"/>
      <x:c r="B7" s="4"/>
      <x:c r="C7" s="4"/>
      <x:c r="D7" s="4"/>
      <x:c r="E7" s="4"/>
      <x:c r="F7" s="4"/>
      <x:c r="G7" s="4"/>
      <x:c r="H7" s="4"/>
      <x:c r="I7" s="4"/>
      <x:c r="J7" s="4"/>
      <x:c r="K7" s="4"/>
      <x:c r="L7" s="4"/>
      <x:c r="M7" s="4"/>
      <x:c r="N7" s="4"/>
      <x:c r="O7" s="4"/>
      <x:c r="P7" s="4"/>
    </x:row>
    <x:row r="8" ht="18.75" customHeight="1">
      <x:c r="A8" s="13" t="str">
        <x:v>Фильтруй район, категорию и нагрузку. «Неочевидное» — редакционная подборка. Время указано на месте, без дороги. Источники, даты, два отзыва и координаты — по ссылке «Отзывы».</x:v>
      </x:c>
      <x:c r="B8" s="13" t="str">
        <x:v>Фильтруй район, категорию и нагрузку. «Неочевидное» — редакционная подборка. Время указано на месте, без дороги. Источники, даты, два отзыва и координаты — по ссылке «Отзывы».</x:v>
      </x:c>
      <x:c r="C8" s="13" t="str">
        <x:v>Фильтруй район, категорию и нагрузку. «Неочевидное» — редакционная подборка. Время указано на месте, без дороги. Источники, даты, два отзыва и координаты — по ссылке «Отзывы».</x:v>
      </x:c>
      <x:c r="D8" s="13" t="str">
        <x:v>Фильтруй район, категорию и нагрузку. «Неочевидное» — редакционная подборка. Время указано на месте, без дороги. Источники, даты, два отзыва и координаты — по ссылке «Отзывы».</x:v>
      </x:c>
      <x:c r="E8" s="13" t="str">
        <x:v>Фильтруй район, категорию и нагрузку. «Неочевидное» — редакционная подборка. Время указано на месте, без дороги. Источники, даты, два отзыва и координаты — по ссылке «Отзывы».</x:v>
      </x:c>
      <x:c r="F8" s="13" t="str">
        <x:v>Фильтруй район, категорию и нагрузку. «Неочевидное» — редакционная подборка. Время указано на месте, без дороги. Источники, даты, два отзыва и координаты — по ссылке «Отзывы».</x:v>
      </x:c>
      <x:c r="G8" s="13" t="str">
        <x:v>Фильтруй район, категорию и нагрузку. «Неочевидное» — редакционная подборка. Время указано на месте, без дороги. Источники, даты, два отзыва и координаты — по ссылке «Отзывы».</x:v>
      </x:c>
      <x:c r="H8" s="13" t="str">
        <x:v>Фильтруй район, категорию и нагрузку. «Неочевидное» — редакционная подборка. Время указано на месте, без дороги. Источники, даты, два отзыва и координаты — по ссылке «Отзывы».</x:v>
      </x:c>
      <x:c r="I8" s="13" t="str">
        <x:v>Фильтруй район, категорию и нагрузку. «Неочевидное» — редакционная подборка. Время указано на месте, без дороги. Источники, даты, два отзыва и координаты — по ссылке «Отзывы».</x:v>
      </x:c>
      <x:c r="J8" s="13" t="str">
        <x:v>Фильтруй район, категорию и нагрузку. «Неочевидное» — редакционная подборка. Время указано на месте, без дороги. Источники, даты, два отзыва и координаты — по ссылке «Отзывы».</x:v>
      </x:c>
      <x:c r="K8" s="13" t="str">
        <x:v>Фильтруй район, категорию и нагрузку. «Неочевидное» — редакционная подборка. Время указано на месте, без дороги. Источники, даты, два отзыва и координаты — по ссылке «Отзывы».</x:v>
      </x:c>
      <x:c r="L8" s="13" t="str">
        <x:v>Фильтруй район, категорию и нагрузку. «Неочевидное» — редакционная подборка. Время указано на месте, без дороги. Источники, даты, два отзыва и координаты — по ссылке «Отзывы».</x:v>
      </x:c>
      <x:c r="M8" s="13" t="str">
        <x:v>Фильтруй район, категорию и нагрузку. «Неочевидное» — редакционная подборка. Время указано на месте, без дороги. Источники, даты, два отзыва и координаты — по ссылке «Отзывы».</x:v>
      </x:c>
      <x:c r="N8" s="13" t="str">
        <x:v>Фильтруй район, категорию и нагрузку. «Неочевидное» — редакционная подборка. Время указано на месте, без дороги. Источники, даты, два отзыва и координаты — по ссылке «Отзывы».</x:v>
      </x:c>
      <x:c r="O8" s="13" t="str">
        <x:v>Фильтруй район, категорию и нагрузку. «Неочевидное» — редакционная подборка. Время указано на месте, без дороги. Источники, даты, два отзыва и координаты — по ссылке «Отзывы».</x:v>
      </x:c>
      <x:c r="P8" s="13" t="str">
        <x:v>Фильтруй район, категорию и нагрузку. «Неочевидное» — редакционная подборка. Время указано на месте, без дороги. Источники, даты, два отзыва и координаты — по ссылке «Отзывы».</x:v>
      </x:c>
    </x:row>
    <x:row r="9" ht="18.75" customHeight="1">
      <x:c r="A9" s="4"/>
      <x:c r="B9" s="4"/>
      <x:c r="C9" s="4"/>
      <x:c r="D9" s="4"/>
      <x:c r="E9" s="4"/>
      <x:c r="F9" s="4"/>
      <x:c r="G9" s="4"/>
      <x:c r="H9" s="4"/>
      <x:c r="I9" s="4"/>
      <x:c r="J9" s="4"/>
      <x:c r="K9" s="4"/>
      <x:c r="L9" s="4"/>
      <x:c r="M9" s="4"/>
      <x:c r="N9" s="4"/>
      <x:c r="O9" s="4"/>
      <x:c r="P9" s="4"/>
    </x:row>
    <x:row r="10" ht="46.5" customHeight="1">
      <x:c r="A10" s="42" t="str">
        <x:v>Ранг TA</x:v>
      </x:c>
      <x:c r="B10" s="42" t="str">
        <x:v>ID карты</x:v>
      </x:c>
      <x:c r="C10" s="42" t="str">
        <x:v>Место</x:v>
      </x:c>
      <x:c r="D10" s="42" t="str">
        <x:v>Категория</x:v>
      </x:c>
      <x:c r="E10" s="42" t="str">
        <x:v>Район</x:v>
      </x:c>
      <x:c r="F10" s="42" t="str">
        <x:v>★ / 5</x:v>
      </x:c>
      <x:c r="G10" s="42" t="str">
        <x:v>Отзывов TA</x:v>
      </x:c>
      <x:c r="H10" s="42" t="str">
        <x:v>Зачем ехать / что попробовать</x:v>
      </x:c>
      <x:c r="I10" s="42" t="str">
        <x:v>Тип места</x:v>
      </x:c>
      <x:c r="J10" s="42" t="str">
        <x:v>На месте</x:v>
      </x:c>
      <x:c r="K10" s="42" t="str">
        <x:v>Нагрузка</x:v>
      </x:c>
      <x:c r="L10" s="42" t="str">
        <x:v>Расходы / ориентир</x:v>
      </x:c>
      <x:c r="M10" s="42" t="str">
        <x:v>Геолокация</x:v>
      </x:c>
      <x:c r="N10" s="42" t="str">
        <x:v>Фото</x:v>
      </x:c>
      <x:c r="O10" s="42" t="str">
        <x:v>Отзывы</x:v>
      </x:c>
      <x:c r="P10" s="42" t="str">
        <x:v>Мой выбор</x:v>
      </x:c>
    </x:row>
    <x:row r="11" ht="70.5" customHeight="1">
      <x:c r="A11" s="29" t="n">
        <x:v>1</x:v>
      </x:c>
      <x:c r="B11" s="30" t="n">
        <x:v>42</x:v>
      </x:c>
      <x:c r="C11" s="7" t="str">
        <x:v>Ubud Monkey Forest</x:v>
      </x:c>
      <x:c r="D11" s="4" t="str">
        <x:v>Природа и прогулки</x:v>
      </x:c>
      <x:c r="E11" s="4" t="str">
        <x:v>Убуд</x:v>
      </x:c>
      <x:c r="F11" s="40" t="n">
        <x:v>4.2</x:v>
      </x:c>
      <x:c r="G11" s="38" t="n">
        <x:v>35717</x:v>
      </x:c>
      <x:c r="H11" s="4" t="str">
        <x:v>Лес, мосты, храмы и многочисленные макаки в центре Убуда.</x:v>
      </x:c>
      <x:c r="I11" s="4" t="str">
        <x:v>Известное</x:v>
      </x:c>
      <x:c r="J11" s="4" t="str">
        <x:v>1,5–2 ч</x:v>
      </x:c>
      <x:c r="K11" s="4" t="str">
        <x:v>Средне</x:v>
      </x:c>
      <x:c r="L11" s="4" t="str">
        <x:v>Вход платный; тариф уточнить</x:v>
      </x:c>
      <x:c r="M11" s="8" t="str">
        <x:f>HYPERLINK("https://www.google.com/maps/search/?api=1&amp;query=-8.518735,115.25832","На карте ↗")</x:f>
        <x:v>На карте ↗</x:v>
      </x:c>
      <x:c r="N11" s="8" t="str">
        <x:f>HYPERLINK("#'Фото'!K189","Фото →")</x:f>
        <x:v>Фото →</x:v>
      </x:c>
      <x:c r="O11" s="8" t="str">
        <x:f>HYPERLINK("#'Отзывы'!A48","2 отзыва →")</x:f>
        <x:v>2 отзыва →</x:v>
      </x:c>
      <x:c r="P11" s="4" t="str"/>
    </x:row>
    <x:row r="12" ht="70.5" customHeight="1">
      <x:c r="A12" s="31" t="n">
        <x:v>2</x:v>
      </x:c>
      <x:c r="B12" s="30" t="n">
        <x:v>45</x:v>
      </x:c>
      <x:c r="C12" s="17" t="str">
        <x:v>Tegalalang Rice Terrace</x:v>
      </x:c>
      <x:c r="D12" s="16" t="str">
        <x:v>Природа и прогулки</x:v>
      </x:c>
      <x:c r="E12" s="16" t="str">
        <x:v>Убуд</x:v>
      </x:c>
      <x:c r="F12" s="41" t="n">
        <x:v>4.1</x:v>
      </x:c>
      <x:c r="G12" s="39" t="n">
        <x:v>17152</x:v>
      </x:c>
      <x:c r="H12" s="16" t="str">
        <x:v>Компактные крутые террасы около Убуда, много фотозон.</x:v>
      </x:c>
      <x:c r="I12" s="16" t="str">
        <x:v>Известное</x:v>
      </x:c>
      <x:c r="J12" s="16" t="str">
        <x:v>1–2 ч</x:v>
      </x:c>
      <x:c r="K12" s="16" t="str">
        <x:v>Средне</x:v>
      </x:c>
      <x:c r="L12" s="16" t="str">
        <x:v>Несколько входов; качели и фотозоны отдельно</x:v>
      </x:c>
      <x:c r="M12" s="18" t="str">
        <x:f>HYPERLINK("https://www.google.com/maps/search/?api=1&amp;query=Tegalalang%20Rice%20Terrace%20Bali","На карте ↗")</x:f>
        <x:v>На карте ↗</x:v>
      </x:c>
      <x:c r="N12" s="18" t="str">
        <x:f>HYPERLINK("#'Фото'!K203","Фото →")</x:f>
        <x:v>Фото →</x:v>
      </x:c>
      <x:c r="O12" s="18" t="str">
        <x:f>HYPERLINK("#'Отзывы'!A51","2 отзыва →")</x:f>
        <x:v>2 отзыва →</x:v>
      </x:c>
      <x:c r="P12" s="16" t="str"/>
    </x:row>
    <x:row r="13" ht="70.5" customHeight="1">
      <x:c r="A13" s="29" t="n">
        <x:v>3</x:v>
      </x:c>
      <x:c r="B13" s="32" t="n">
        <x:v>31</x:v>
      </x:c>
      <x:c r="C13" s="7" t="str">
        <x:v>Tanah Lot</x:v>
      </x:c>
      <x:c r="D13" s="4" t="str">
        <x:v>Культура</x:v>
      </x:c>
      <x:c r="E13" s="4" t="str">
        <x:v>Табанан</x:v>
      </x:c>
      <x:c r="F13" s="40" t="n">
        <x:v>4.2</x:v>
      </x:c>
      <x:c r="G13" s="38" t="n">
        <x:v>11363</x:v>
      </x:c>
      <x:c r="H13" s="4" t="str">
        <x:v>Храм на морской скале и закатные панорамы.</x:v>
      </x:c>
      <x:c r="I13" s="4" t="str">
        <x:v>Известное</x:v>
      </x:c>
      <x:c r="J13" s="4" t="str">
        <x:v>1,5–2 ч</x:v>
      </x:c>
      <x:c r="K13" s="4" t="str">
        <x:v>Легко</x:v>
      </x:c>
      <x:c r="L13" s="4" t="str">
        <x:v>Вход платный; тариф уточнить</x:v>
      </x:c>
      <x:c r="M13" s="8" t="str">
        <x:f>HYPERLINK("https://www.google.com/maps/search/?api=1&amp;query=-8.621229,115.086885","На карте ↗")</x:f>
        <x:v>На карте ↗</x:v>
      </x:c>
      <x:c r="N13" s="8" t="str">
        <x:f>HYPERLINK("#'Фото'!A147","Фото →")</x:f>
        <x:v>Фото →</x:v>
      </x:c>
      <x:c r="O13" s="8" t="str">
        <x:f>HYPERLINK("#'Отзывы'!A37","2 отзыва →")</x:f>
        <x:v>2 отзыва →</x:v>
      </x:c>
      <x:c r="P13" s="4" t="str"/>
    </x:row>
    <x:row r="14" ht="70.5" customHeight="1">
      <x:c r="A14" s="31" t="n">
        <x:v>4</x:v>
      </x:c>
      <x:c r="B14" s="32" t="n">
        <x:v>32</x:v>
      </x:c>
      <x:c r="C14" s="17" t="str">
        <x:v>Uluwatu Temple</x:v>
      </x:c>
      <x:c r="D14" s="16" t="str">
        <x:v>Культура</x:v>
      </x:c>
      <x:c r="E14" s="16" t="str">
        <x:v>Букит</x:v>
      </x:c>
      <x:c r="F14" s="41" t="n">
        <x:v>4.2</x:v>
      </x:c>
      <x:c r="G14" s="39" t="n">
        <x:v>10445</x:v>
      </x:c>
      <x:c r="H14" s="16" t="str">
        <x:v>Храм на высоком обрыве; рядом вечерний танец кечак.</x:v>
      </x:c>
      <x:c r="I14" s="16" t="str">
        <x:v>Известное</x:v>
      </x:c>
      <x:c r="J14" s="16" t="str">
        <x:v>1,5–3 ч</x:v>
      </x:c>
      <x:c r="K14" s="16" t="str">
        <x:v>Средне</x:v>
      </x:c>
      <x:c r="L14" s="16" t="str">
        <x:v>Храм и кечак — отдельные билеты</x:v>
      </x:c>
      <x:c r="M14" s="18" t="str">
        <x:f>HYPERLINK("https://www.google.com/maps/search/?api=1&amp;query=-8.829369,115.084343","На карте ↗")</x:f>
        <x:v>На карте ↗</x:v>
      </x:c>
      <x:c r="N14" s="18" t="str">
        <x:f>HYPERLINK("#'Фото'!F147","Фото →")</x:f>
        <x:v>Фото →</x:v>
      </x:c>
      <x:c r="O14" s="18" t="str">
        <x:f>HYPERLINK("#'Отзывы'!A38","2 отзыва →")</x:f>
        <x:v>2 отзыва →</x:v>
      </x:c>
      <x:c r="P14" s="16" t="str"/>
    </x:row>
    <x:row r="15" ht="70.5" customHeight="1">
      <x:c r="A15" s="29" t="n">
        <x:v>5</x:v>
      </x:c>
      <x:c r="B15" s="33" t="n">
        <x:v>26</x:v>
      </x:c>
      <x:c r="C15" s="7" t="str">
        <x:v>Sanur Beach</x:v>
      </x:c>
      <x:c r="D15" s="4" t="str">
        <x:v>Пляжи</x:v>
      </x:c>
      <x:c r="E15" s="4" t="str">
        <x:v>Санур</x:v>
      </x:c>
      <x:c r="F15" s="40" t="n">
        <x:v>3.9</x:v>
      </x:c>
      <x:c r="G15" s="38" t="n">
        <x:v>8367</x:v>
      </x:c>
      <x:c r="H15" s="4" t="str">
        <x:v>Длинная набережная для рассвета, прогулки, велосипеда и завтрака.</x:v>
      </x:c>
      <x:c r="I15" s="4" t="str">
        <x:v>Известное</x:v>
      </x:c>
      <x:c r="J15" s="4" t="str">
        <x:v>1–3 ч</x:v>
      </x:c>
      <x:c r="K15" s="4" t="str">
        <x:v>Легко</x:v>
      </x:c>
      <x:c r="L15" s="4" t="str">
        <x:v>Прогулка бесплатно; парковка/прокат отдельно</x:v>
      </x:c>
      <x:c r="M15" s="8" t="str">
        <x:f>HYPERLINK("https://www.google.com/maps/search/?api=1&amp;query=Sanur%20Beach%20Bali","На карте ↗")</x:f>
        <x:v>На карте ↗</x:v>
      </x:c>
      <x:c r="N15" s="8" t="str">
        <x:f>HYPERLINK("#'Фото'!F119","Фото →")</x:f>
        <x:v>Фото →</x:v>
      </x:c>
      <x:c r="O15" s="8" t="str">
        <x:f>HYPERLINK("#'Отзывы'!A32","2 отзыва →")</x:f>
        <x:v>2 отзыва →</x:v>
      </x:c>
      <x:c r="P15" s="4" t="str"/>
    </x:row>
    <x:row r="16" ht="70.5" customHeight="1">
      <x:c r="A16" s="31" t="n">
        <x:v>6</x:v>
      </x:c>
      <x:c r="B16" s="30" t="n">
        <x:v>46</x:v>
      </x:c>
      <x:c r="C16" s="17" t="str">
        <x:v>Campuhan Ridge Walk</x:v>
      </x:c>
      <x:c r="D16" s="16" t="str">
        <x:v>Природа и прогулки</x:v>
      </x:c>
      <x:c r="E16" s="16" t="str">
        <x:v>Убуд</x:v>
      </x:c>
      <x:c r="F16" s="41" t="n">
        <x:v>4.3</x:v>
      </x:c>
      <x:c r="G16" s="39" t="n">
        <x:v>6781</x:v>
      </x:c>
      <x:c r="H16" s="16" t="str">
        <x:v>Прогулка по зелёному гребню от центра Убуда.</x:v>
      </x:c>
      <x:c r="I16" s="16" t="str">
        <x:v>Известное</x:v>
      </x:c>
      <x:c r="J16" s="16" t="str">
        <x:v>1–2 ч</x:v>
      </x:c>
      <x:c r="K16" s="16" t="str">
        <x:v>Средне</x:v>
      </x:c>
      <x:c r="L16" s="16" t="str">
        <x:v>Основная тропа бесплатно; кафе отдельно</x:v>
      </x:c>
      <x:c r="M16" s="18" t="str">
        <x:f>HYPERLINK("https://www.google.com/maps/search/?api=1&amp;query=-8.495021,115.255837","На карте ↗")</x:f>
        <x:v>На карте ↗</x:v>
      </x:c>
      <x:c r="N16" s="18" t="str">
        <x:f>HYPERLINK("#'Фото'!A217","Фото →")</x:f>
        <x:v>Фото →</x:v>
      </x:c>
      <x:c r="O16" s="18" t="str">
        <x:f>HYPERLINK("#'Отзывы'!A52","2 отзыва →")</x:f>
        <x:v>2 отзыва →</x:v>
      </x:c>
      <x:c r="P16" s="16" t="str"/>
    </x:row>
    <x:row r="17" ht="70.5" customHeight="1">
      <x:c r="A17" s="29" t="n">
        <x:v>7</x:v>
      </x:c>
      <x:c r="B17" s="32" t="n">
        <x:v>37</x:v>
      </x:c>
      <x:c r="C17" s="7" t="str">
        <x:v>Goa Gajah</x:v>
      </x:c>
      <x:c r="D17" s="4" t="str">
        <x:v>Культура</x:v>
      </x:c>
      <x:c r="E17" s="4" t="str">
        <x:v>Убуд</x:v>
      </x:c>
      <x:c r="F17" s="40" t="n">
        <x:v>3.7</x:v>
      </x:c>
      <x:c r="G17" s="38" t="n">
        <x:v>5186</x:v>
      </x:c>
      <x:c r="H17" s="4" t="str">
        <x:v>Пещера с резным входом, священные бассейны и сад.</x:v>
      </x:c>
      <x:c r="I17" s="4" t="str">
        <x:v>Известное</x:v>
      </x:c>
      <x:c r="J17" s="4" t="str">
        <x:v>1–1,5 ч</x:v>
      </x:c>
      <x:c r="K17" s="4" t="str">
        <x:v>Средне</x:v>
      </x:c>
      <x:c r="L17" s="4" t="str">
        <x:v>Вход платный; саронг обычно включён — проверить</x:v>
      </x:c>
      <x:c r="M17" s="8" t="str">
        <x:f>HYPERLINK("https://www.google.com/maps/search/?api=1&amp;query=-8.523693,115.286689","На карте ↗")</x:f>
        <x:v>На карте ↗</x:v>
      </x:c>
      <x:c r="N17" s="8" t="str">
        <x:f>HYPERLINK("#'Фото'!A175","Фото →")</x:f>
        <x:v>Фото →</x:v>
      </x:c>
      <x:c r="O17" s="8" t="str">
        <x:f>HYPERLINK("#'Отзывы'!A43","2 отзыва →")</x:f>
        <x:v>2 отзыва →</x:v>
      </x:c>
      <x:c r="P17" s="4" t="str"/>
    </x:row>
    <x:row r="18" ht="70.5" customHeight="1">
      <x:c r="A18" s="31" t="n">
        <x:v>8</x:v>
      </x:c>
      <x:c r="B18" s="34" t="n">
        <x:v>2</x:v>
      </x:c>
      <x:c r="C18" s="17" t="str">
        <x:v>Tegenungan Waterfall</x:v>
      </x:c>
      <x:c r="D18" s="16" t="str">
        <x:v>Водопады</x:v>
      </x:c>
      <x:c r="E18" s="16" t="str">
        <x:v>Убуд</x:v>
      </x:c>
      <x:c r="F18" s="41" t="n">
        <x:v>3.9</x:v>
      </x:c>
      <x:c r="G18" s="39" t="n">
        <x:v>4952</x:v>
      </x:c>
      <x:c r="H18" s="16" t="str">
        <x:v>Большой водопад недалеко от Убуда с развитой инфраструктурой.</x:v>
      </x:c>
      <x:c r="I18" s="16" t="str">
        <x:v>Известное</x:v>
      </x:c>
      <x:c r="J18" s="16" t="str">
        <x:v>1–1,5 ч</x:v>
      </x:c>
      <x:c r="K18" s="16" t="str">
        <x:v>Средне</x:v>
      </x:c>
      <x:c r="L18" s="16" t="str">
        <x:v>30 тыс. IDR — ответ администрации, 04.2026</x:v>
      </x:c>
      <x:c r="M18" s="18" t="str">
        <x:f>HYPERLINK("https://www.google.com/maps/search/?api=1&amp;query=-8.575229,115.290701","На карте ↗")</x:f>
        <x:v>На карте ↗</x:v>
      </x:c>
      <x:c r="N18" s="18" t="str">
        <x:f>HYPERLINK("#'Фото'!F7","Фото →")</x:f>
        <x:v>Фото →</x:v>
      </x:c>
      <x:c r="O18" s="18" t="str">
        <x:f>HYPERLINK("#'Отзывы'!A8","2 отзыва →")</x:f>
        <x:v>2 отзыва →</x:v>
      </x:c>
      <x:c r="P18" s="16" t="str"/>
    </x:row>
    <x:row r="19" ht="70.5" customHeight="1">
      <x:c r="A19" s="29" t="n">
        <x:v>9</x:v>
      </x:c>
      <x:c r="B19" s="32" t="n">
        <x:v>34</x:v>
      </x:c>
      <x:c r="C19" s="7" t="str">
        <x:v>Ulun Danu Beratan</x:v>
      </x:c>
      <x:c r="D19" s="4" t="str">
        <x:v>Культура</x:v>
      </x:c>
      <x:c r="E19" s="4" t="str">
        <x:v>Бедугул</x:v>
      </x:c>
      <x:c r="F19" s="40" t="n">
        <x:v>4.3</x:v>
      </x:c>
      <x:c r="G19" s="38" t="n">
        <x:v>4029</x:v>
      </x:c>
      <x:c r="H19" s="4" t="str">
        <x:v>Многоярусный храм на озере Бератан в горной прохладе.</x:v>
      </x:c>
      <x:c r="I19" s="4" t="str">
        <x:v>Известное</x:v>
      </x:c>
      <x:c r="J19" s="4" t="str">
        <x:v>1–1,5 ч</x:v>
      </x:c>
      <x:c r="K19" s="4" t="str">
        <x:v>Легко</x:v>
      </x:c>
      <x:c r="L19" s="4" t="str">
        <x:v>Вход платный; тариф уточнить</x:v>
      </x:c>
      <x:c r="M19" s="8" t="str">
        <x:f>HYPERLINK("https://www.google.com/maps/search/?api=1&amp;query=-8.275507,115.16626","На карте ↗")</x:f>
        <x:v>На карте ↗</x:v>
      </x:c>
      <x:c r="N19" s="8" t="str">
        <x:f>HYPERLINK("#'Фото'!A161","Фото →")</x:f>
        <x:v>Фото →</x:v>
      </x:c>
      <x:c r="O19" s="8" t="str">
        <x:f>HYPERLINK("#'Отзывы'!A40","2 отзыва →")</x:f>
        <x:v>2 отзыва →</x:v>
      </x:c>
      <x:c r="P19" s="4" t="str"/>
    </x:row>
    <x:row r="20" ht="70.5" customHeight="1">
      <x:c r="A20" s="31" t="n">
        <x:v>10</x:v>
      </x:c>
      <x:c r="B20" s="33" t="n">
        <x:v>16</x:v>
      </x:c>
      <x:c r="C20" s="17" t="str">
        <x:v>Pandawa Beach</x:v>
      </x:c>
      <x:c r="D20" s="16" t="str">
        <x:v>Пляжи</x:v>
      </x:c>
      <x:c r="E20" s="16" t="str">
        <x:v>Букит</x:v>
      </x:c>
      <x:c r="F20" s="41" t="n">
        <x:v>4.1</x:v>
      </x:c>
      <x:c r="G20" s="39" t="n">
        <x:v>3740</x:v>
      </x:c>
      <x:c r="H20" s="16" t="str">
        <x:v>Широкий пляж у известняковых стен со статуями.</x:v>
      </x:c>
      <x:c r="I20" s="16" t="str">
        <x:v>Известное</x:v>
      </x:c>
      <x:c r="J20" s="16" t="str">
        <x:v>2–4 ч</x:v>
      </x:c>
      <x:c r="K20" s="16" t="str">
        <x:v>Легко</x:v>
      </x:c>
      <x:c r="L20" s="16" t="str">
        <x:v>Вход/парковка; тариф уточнить</x:v>
      </x:c>
      <x:c r="M20" s="18" t="str">
        <x:f>HYPERLINK("https://www.google.com/maps/search/?api=1&amp;query=-8.845805,115.185088","На карте ↗")</x:f>
        <x:v>На карте ↗</x:v>
      </x:c>
      <x:c r="N20" s="18" t="str">
        <x:f>HYPERLINK("#'Фото'!A77","Фото →")</x:f>
        <x:v>Фото →</x:v>
      </x:c>
      <x:c r="O20" s="18" t="str">
        <x:f>HYPERLINK("#'Отзывы'!A22","2 отзыва →")</x:f>
        <x:v>2 отзыва →</x:v>
      </x:c>
      <x:c r="P20" s="16" t="str"/>
    </x:row>
    <x:row r="21" ht="70.5" customHeight="1">
      <x:c r="A21" s="29" t="n">
        <x:v>11</x:v>
      </x:c>
      <x:c r="B21" s="35" t="n">
        <x:v>63</x:v>
      </x:c>
      <x:c r="C21" s="7" t="str">
        <x:v>Bebek Bengil Ubud</x:v>
      </x:c>
      <x:c r="D21" s="4" t="str">
        <x:v>Где поесть</x:v>
      </x:c>
      <x:c r="E21" s="4" t="str">
        <x:v>Убуд</x:v>
      </x:c>
      <x:c r="F21" s="40" t="n">
        <x:v>3.5</x:v>
      </x:c>
      <x:c r="G21" s="38" t="n">
        <x:v>3705</x:v>
      </x:c>
      <x:c r="H21" s="4" t="str">
        <x:v>Хрустящая утка и большой сад с прудами у центра Убуда.</x:v>
      </x:c>
      <x:c r="I21" s="4" t="str">
        <x:v>Известное</x:v>
      </x:c>
      <x:c r="J21" s="4" t="str">
        <x:v>1–1,5 ч</x:v>
      </x:c>
      <x:c r="K21" s="4" t="str">
        <x:v>Легко</x:v>
      </x:c>
      <x:c r="L21" s="4" t="str">
        <x:v>$$–$$$; текущий чек уточнить</x:v>
      </x:c>
      <x:c r="M21" s="8" t="str">
        <x:f>HYPERLINK("https://www.google.com/maps/search/?api=1&amp;query=-8.517793,115.263679","На карте ↗")</x:f>
        <x:v>На карте ↗</x:v>
      </x:c>
      <x:c r="N21" s="8" t="str">
        <x:f>HYPERLINK("#'Фото'!K287","Фото →")</x:f>
        <x:v>Фото →</x:v>
      </x:c>
      <x:c r="O21" s="8" t="str">
        <x:f>HYPERLINK("#'Отзывы'!A69","2 отзыва →")</x:f>
        <x:v>2 отзыва →</x:v>
      </x:c>
      <x:c r="P21" s="4" t="str"/>
    </x:row>
    <x:row r="22" ht="70.5" customHeight="1">
      <x:c r="A22" s="31" t="n">
        <x:v>12</x:v>
      </x:c>
      <x:c r="B22" s="32" t="n">
        <x:v>33</x:v>
      </x:c>
      <x:c r="C22" s="17" t="str">
        <x:v>Tirta Empul</x:v>
      </x:c>
      <x:c r="D22" s="16" t="str">
        <x:v>Культура</x:v>
      </x:c>
      <x:c r="E22" s="16" t="str">
        <x:v>Тампаксиринг</x:v>
      </x:c>
      <x:c r="F22" s="41" t="n">
        <x:v>4.4</x:v>
      </x:c>
      <x:c r="G22" s="39" t="n">
        <x:v>3622</x:v>
      </x:c>
      <x:c r="H22" s="16" t="str">
        <x:v>Священные источники и знакомство с ритуалом очищения.</x:v>
      </x:c>
      <x:c r="I22" s="16" t="str">
        <x:v>Известное</x:v>
      </x:c>
      <x:c r="J22" s="16" t="str">
        <x:v>1–2 ч</x:v>
      </x:c>
      <x:c r="K22" s="16" t="str">
        <x:v>Легко</x:v>
      </x:c>
      <x:c r="L22" s="16" t="str">
        <x:v>75 тыс. IDR — отзыв 01.2026; ритуальные услуги уточнить</x:v>
      </x:c>
      <x:c r="M22" s="18" t="str">
        <x:f>HYPERLINK("https://www.google.com/maps/search/?api=1&amp;query=-8.414388,115.315995","На карте ↗")</x:f>
        <x:v>На карте ↗</x:v>
      </x:c>
      <x:c r="N22" s="18" t="str">
        <x:f>HYPERLINK("#'Фото'!K147","Фото →")</x:f>
        <x:v>Фото →</x:v>
      </x:c>
      <x:c r="O22" s="18" t="str">
        <x:f>HYPERLINK("#'Отзывы'!A39","2 отзыва →")</x:f>
        <x:v>2 отзыва →</x:v>
      </x:c>
      <x:c r="P22" s="16" t="str"/>
    </x:row>
    <x:row r="23" ht="70.5" customHeight="1">
      <x:c r="A23" s="29" t="n">
        <x:v>13</x:v>
      </x:c>
      <x:c r="B23" s="35" t="n">
        <x:v>64</x:v>
      </x:c>
      <x:c r="C23" s="7" t="str">
        <x:v>Naughty Nuri’s Ubud</x:v>
      </x:c>
      <x:c r="D23" s="4" t="str">
        <x:v>Где поесть</x:v>
      </x:c>
      <x:c r="E23" s="4" t="str">
        <x:v>Убуд</x:v>
      </x:c>
      <x:c r="F23" s="40" t="n">
        <x:v>4</x:v>
      </x:c>
      <x:c r="G23" s="38" t="n">
        <x:v>3501</x:v>
      </x:c>
      <x:c r="H23" s="4" t="str">
        <x:v>Свиные рёбра на гриле, сатай и атмосфера старого варунга.</x:v>
      </x:c>
      <x:c r="I23" s="4" t="str">
        <x:v>Известное</x:v>
      </x:c>
      <x:c r="J23" s="4" t="str">
        <x:v>1–1,5 ч</x:v>
      </x:c>
      <x:c r="K23" s="4" t="str">
        <x:v>Легко</x:v>
      </x:c>
      <x:c r="L23" s="4" t="str">
        <x:v>$$–$$$; текущий чек уточнить</x:v>
      </x:c>
      <x:c r="M23" s="8" t="str">
        <x:f>HYPERLINK("https://www.google.com/maps/search/?api=1&amp;query=-8.494284,115.253153","На карте ↗")</x:f>
        <x:v>На карте ↗</x:v>
      </x:c>
      <x:c r="N23" s="8" t="str">
        <x:f>HYPERLINK("#'Фото'!A301","Фото →")</x:f>
        <x:v>Фото →</x:v>
      </x:c>
      <x:c r="O23" s="8" t="str">
        <x:f>HYPERLINK("#'Отзывы'!A70","2 отзыва →")</x:f>
        <x:v>2 отзыва →</x:v>
      </x:c>
      <x:c r="P23" s="4" t="str"/>
    </x:row>
    <x:row r="24" ht="70.5" customHeight="1">
      <x:c r="A24" s="31" t="n">
        <x:v>14</x:v>
      </x:c>
      <x:c r="B24" s="32" t="n">
        <x:v>39</x:v>
      </x:c>
      <x:c r="C24" s="17" t="str">
        <x:v>Tirta Gangga</x:v>
      </x:c>
      <x:c r="D24" s="16" t="str">
        <x:v>Культура</x:v>
      </x:c>
      <x:c r="E24" s="16" t="str">
        <x:v>Карангасем</x:v>
      </x:c>
      <x:c r="F24" s="41" t="n">
        <x:v>4.5</x:v>
      </x:c>
      <x:c r="G24" s="39" t="n">
        <x:v>3402</x:v>
      </x:c>
      <x:c r="H24" s="16" t="str">
        <x:v>Водный сад со ступенями через пруды и рыбами кои.</x:v>
      </x:c>
      <x:c r="I24" s="16" t="str">
        <x:v>Известное</x:v>
      </x:c>
      <x:c r="J24" s="16" t="str">
        <x:v>1–1,5 ч</x:v>
      </x:c>
      <x:c r="K24" s="16" t="str">
        <x:v>Легко</x:v>
      </x:c>
      <x:c r="L24" s="16" t="str">
        <x:v>Вход платный; корм/бассейн отдельно уточнить</x:v>
      </x:c>
      <x:c r="M24" s="18" t="str">
        <x:f>HYPERLINK("https://www.google.com/maps/search/?api=1&amp;query=-8.411319,115.588055","На карте ↗")</x:f>
        <x:v>На карте ↗</x:v>
      </x:c>
      <x:c r="N24" s="18" t="str">
        <x:f>HYPERLINK("#'Фото'!K175","Фото →")</x:f>
        <x:v>Фото →</x:v>
      </x:c>
      <x:c r="O24" s="18" t="str">
        <x:f>HYPERLINK("#'Отзывы'!A45","2 отзыва →")</x:f>
        <x:v>2 отзыва →</x:v>
      </x:c>
      <x:c r="P24" s="16" t="str"/>
    </x:row>
    <x:row r="25" ht="70.5" customHeight="1">
      <x:c r="A25" s="29" t="n">
        <x:v>15</x:v>
      </x:c>
      <x:c r="B25" s="33" t="n">
        <x:v>17</x:v>
      </x:c>
      <x:c r="C25" s="7" t="str">
        <x:v>Padang Padang Beach</x:v>
      </x:c>
      <x:c r="D25" s="4" t="str">
        <x:v>Пляжи</x:v>
      </x:c>
      <x:c r="E25" s="4" t="str">
        <x:v>Букит</x:v>
      </x:c>
      <x:c r="F25" s="40" t="n">
        <x:v>3.8</x:v>
      </x:c>
      <x:c r="G25" s="38" t="n">
        <x:v>3366</x:v>
      </x:c>
      <x:c r="H25" s="4" t="str">
        <x:v>Небольшая бухта с проходом через скалу; узнаваемый пейзаж Букита.</x:v>
      </x:c>
      <x:c r="I25" s="4" t="str">
        <x:v>Известное</x:v>
      </x:c>
      <x:c r="J25" s="4" t="str">
        <x:v>1,5–3 ч</x:v>
      </x:c>
      <x:c r="K25" s="4" t="str">
        <x:v>Средне</x:v>
      </x:c>
      <x:c r="L25" s="4" t="str">
        <x:v>Вход платный; тариф уточнить</x:v>
      </x:c>
      <x:c r="M25" s="8" t="str">
        <x:f>HYPERLINK("https://www.google.com/maps/search/?api=1&amp;query=-8.811215,115.103637","На карте ↗")</x:f>
        <x:v>На карте ↗</x:v>
      </x:c>
      <x:c r="N25" s="8" t="str">
        <x:f>HYPERLINK("#'Фото'!F77","Фото →")</x:f>
        <x:v>Фото →</x:v>
      </x:c>
      <x:c r="O25" s="8" t="str">
        <x:f>HYPERLINK("#'Отзывы'!A23","2 отзыва →")</x:f>
        <x:v>2 отзыва →</x:v>
      </x:c>
      <x:c r="P25" s="4" t="str"/>
    </x:row>
    <x:row r="26" ht="70.5" customHeight="1">
      <x:c r="A26" s="31" t="n">
        <x:v>16</x:v>
      </x:c>
      <x:c r="B26" s="30" t="n">
        <x:v>50</x:v>
      </x:c>
      <x:c r="C26" s="17" t="str">
        <x:v>Mount Batur</x:v>
      </x:c>
      <x:c r="D26" s="16" t="str">
        <x:v>Природа и прогулки</x:v>
      </x:c>
      <x:c r="E26" s="16" t="str">
        <x:v>Кинтамани</x:v>
      </x:c>
      <x:c r="F26" s="41" t="n">
        <x:v>4.3</x:v>
      </x:c>
      <x:c r="G26" s="39" t="n">
        <x:v>3259</x:v>
      </x:c>
      <x:c r="H26" s="16" t="str">
        <x:v>Вулканический пейзаж Кинтамани; рассветный трек или вид со стороны.</x:v>
      </x:c>
      <x:c r="I26" s="16" t="str">
        <x:v>Известное</x:v>
      </x:c>
      <x:c r="J26" s="16" t="str">
        <x:v>4–6 ч для трека</x:v>
      </x:c>
      <x:c r="K26" s="16" t="str">
        <x:v>Сложно</x:v>
      </x:c>
      <x:c r="L26" s="16" t="str">
        <x:v>Гид/тур и трансфер; пакет уточнить</x:v>
      </x:c>
      <x:c r="M26" s="18" t="str">
        <x:f>HYPERLINK("https://www.google.com/maps/search/?api=1&amp;query=Mount%20Batur%20Bali","На карте ↗")</x:f>
        <x:v>На карте ↗</x:v>
      </x:c>
      <x:c r="N26" s="18" t="str">
        <x:f>HYPERLINK("#'Фото'!F231","Фото →")</x:f>
        <x:v>Фото →</x:v>
      </x:c>
      <x:c r="O26" s="18" t="str">
        <x:f>HYPERLINK("#'Отзывы'!A56","2 отзыва →")</x:f>
        <x:v>2 отзыва →</x:v>
      </x:c>
      <x:c r="P26" s="16" t="str"/>
    </x:row>
    <x:row r="27" ht="70.5" customHeight="1">
      <x:c r="A27" s="29" t="n">
        <x:v>17</x:v>
      </x:c>
      <x:c r="B27" s="32" t="n">
        <x:v>35</x:v>
      </x:c>
      <x:c r="C27" s="7" t="str">
        <x:v>Besakih Temple</x:v>
      </x:c>
      <x:c r="D27" s="4" t="str">
        <x:v>Культура</x:v>
      </x:c>
      <x:c r="E27" s="4" t="str">
        <x:v>Карангасем</x:v>
      </x:c>
      <x:c r="F27" s="40" t="n">
        <x:v>3.3</x:v>
      </x:c>
      <x:c r="G27" s="38" t="n">
        <x:v>2870</x:v>
      </x:c>
      <x:c r="H27" s="4" t="str">
        <x:v>Крупный храмовый комплекс на склонах Агунга.</x:v>
      </x:c>
      <x:c r="I27" s="4" t="str">
        <x:v>Известное</x:v>
      </x:c>
      <x:c r="J27" s="4" t="str">
        <x:v>1,5–2,5 ч</x:v>
      </x:c>
      <x:c r="K27" s="4" t="str">
        <x:v>Средне</x:v>
      </x:c>
      <x:c r="L27" s="4" t="str">
        <x:v>Вход и пакет услуг уточнять на кассе</x:v>
      </x:c>
      <x:c r="M27" s="8" t="str">
        <x:f>HYPERLINK("https://www.google.com/maps/search/?api=1&amp;query=-8.323242,115.446396","На карте ↗")</x:f>
        <x:v>На карте ↗</x:v>
      </x:c>
      <x:c r="N27" s="8" t="str">
        <x:f>HYPERLINK("#'Фото'!F161","Фото →")</x:f>
        <x:v>Фото →</x:v>
      </x:c>
      <x:c r="O27" s="8" t="str">
        <x:f>HYPERLINK("#'Отзывы'!A41","2 отзыва →")</x:f>
        <x:v>2 отзыва →</x:v>
      </x:c>
      <x:c r="P27" s="4" t="str"/>
    </x:row>
    <x:row r="28" ht="70.5" customHeight="1">
      <x:c r="A28" s="31" t="n">
        <x:v>18</x:v>
      </x:c>
      <x:c r="B28" s="30" t="n">
        <x:v>44</x:v>
      </x:c>
      <x:c r="C28" s="17" t="str">
        <x:v>Jatiluwih Rice Terraces</x:v>
      </x:c>
      <x:c r="D28" s="16" t="str">
        <x:v>Природа и прогулки</x:v>
      </x:c>
      <x:c r="E28" s="16" t="str">
        <x:v>Табанан</x:v>
      </x:c>
      <x:c r="F28" s="41" t="n">
        <x:v>4.7</x:v>
      </x:c>
      <x:c r="G28" s="39" t="n">
        <x:v>2806</x:v>
      </x:c>
      <x:c r="H28" s="16" t="str">
        <x:v>Большие рисовые ландшафты и прогулочные тропы; хороший выбор ради природы.</x:v>
      </x:c>
      <x:c r="I28" s="16" t="str">
        <x:v>Известное</x:v>
      </x:c>
      <x:c r="J28" s="16" t="str">
        <x:v>2–4 ч</x:v>
      </x:c>
      <x:c r="K28" s="16" t="str">
        <x:v>Средне</x:v>
      </x:c>
      <x:c r="L28" s="16" t="str">
        <x:v>Вход платный; тариф уточнить</x:v>
      </x:c>
      <x:c r="M28" s="18" t="str">
        <x:f>HYPERLINK("https://www.google.com/maps/search/?api=1&amp;query=-8.370197,115.131196","На карте ↗")</x:f>
        <x:v>На карте ↗</x:v>
      </x:c>
      <x:c r="N28" s="18" t="str">
        <x:f>HYPERLINK("#'Фото'!F203","Фото →")</x:f>
        <x:v>Фото →</x:v>
      </x:c>
      <x:c r="O28" s="18" t="str">
        <x:f>HYPERLINK("#'Отзывы'!A50","2 отзыва →")</x:f>
        <x:v>2 отзыва →</x:v>
      </x:c>
      <x:c r="P28" s="16" t="str"/>
    </x:row>
    <x:row r="29" ht="70.5" customHeight="1">
      <x:c r="A29" s="29" t="n">
        <x:v>19</x:v>
      </x:c>
      <x:c r="B29" s="35" t="n">
        <x:v>60</x:v>
      </x:c>
      <x:c r="C29" s="7" t="str">
        <x:v>Ibu Oka 3</x:v>
      </x:c>
      <x:c r="D29" s="4" t="str">
        <x:v>Где поесть</x:v>
      </x:c>
      <x:c r="E29" s="4" t="str">
        <x:v>Убуд</x:v>
      </x:c>
      <x:c r="F29" s="40" t="n">
        <x:v>3.5</x:v>
      </x:c>
      <x:c r="G29" s="38" t="n">
        <x:v>2703</x:v>
      </x:c>
      <x:c r="H29" s="4" t="str">
        <x:v>Известный babi guling: балийская свинина, рис, хрустящая кожа.</x:v>
      </x:c>
      <x:c r="I29" s="4" t="str">
        <x:v>Известное</x:v>
      </x:c>
      <x:c r="J29" s="4" t="str">
        <x:v>45–75 мин</x:v>
      </x:c>
      <x:c r="K29" s="4" t="str">
        <x:v>Легко</x:v>
      </x:c>
      <x:c r="L29" s="4" t="str">
        <x:v>$; текущий чек уточнить</x:v>
      </x:c>
      <x:c r="M29" s="8" t="str">
        <x:f>HYPERLINK("https://www.google.com/maps/search/?api=1&amp;query=-8.505743,115.264068","На карте ↗")</x:f>
        <x:v>На карте ↗</x:v>
      </x:c>
      <x:c r="N29" s="8" t="str">
        <x:f>HYPERLINK("#'Фото'!K273","Фото →")</x:f>
        <x:v>Фото →</x:v>
      </x:c>
      <x:c r="O29" s="8" t="str">
        <x:f>HYPERLINK("#'Отзывы'!A66","2 отзыва →")</x:f>
        <x:v>2 отзыва →</x:v>
      </x:c>
      <x:c r="P29" s="4" t="str"/>
    </x:row>
    <x:row r="30" ht="70.5" customHeight="1">
      <x:c r="A30" s="31" t="n">
        <x:v>20</x:v>
      </x:c>
      <x:c r="B30" s="35" t="n">
        <x:v>67</x:v>
      </x:c>
      <x:c r="C30" s="17" t="str">
        <x:v>Warung Biah Biah</x:v>
      </x:c>
      <x:c r="D30" s="16" t="str">
        <x:v>Где поесть</x:v>
      </x:c>
      <x:c r="E30" s="16" t="str">
        <x:v>Убуд</x:v>
      </x:c>
      <x:c r="F30" s="41" t="n">
        <x:v>4.1</x:v>
      </x:c>
      <x:c r="G30" s="39" t="n">
        <x:v>2551</x:v>
      </x:c>
      <x:c r="H30" s="16" t="str">
        <x:v>Небольшие порции балийских блюд: удобно попробовать несколько вкусов.</x:v>
      </x:c>
      <x:c r="I30" s="16" t="str">
        <x:v>Известное</x:v>
      </x:c>
      <x:c r="J30" s="16" t="str">
        <x:v>1–1,5 ч</x:v>
      </x:c>
      <x:c r="K30" s="16" t="str">
        <x:v>Легко</x:v>
      </x:c>
      <x:c r="L30" s="16" t="str">
        <x:v>$; налоги/сервис проверить</x:v>
      </x:c>
      <x:c r="M30" s="18" t="str">
        <x:f>HYPERLINK("https://www.google.com/maps/search/?api=1&amp;query=-8.509241,115.264283","На карте ↗")</x:f>
        <x:v>На карте ↗</x:v>
      </x:c>
      <x:c r="N30" s="18" t="str">
        <x:f>HYPERLINK("#'Фото'!A315","Фото →")</x:f>
        <x:v>Фото →</x:v>
      </x:c>
      <x:c r="O30" s="18" t="str">
        <x:f>HYPERLINK("#'Отзывы'!A73","2 отзыва →")</x:f>
        <x:v>2 отзыва →</x:v>
      </x:c>
      <x:c r="P30" s="16" t="str"/>
    </x:row>
    <x:row r="31" ht="70.5" customHeight="1">
      <x:c r="A31" s="29" t="n">
        <x:v>21</x:v>
      </x:c>
      <x:c r="B31" s="33" t="n">
        <x:v>27</x:v>
      </x:c>
      <x:c r="C31" s="7" t="str">
        <x:v>Kelingking Beach</x:v>
      </x:c>
      <x:c r="D31" s="4" t="str">
        <x:v>Пляжи</x:v>
      </x:c>
      <x:c r="E31" s="4" t="str">
        <x:v>Нуса-Пенида</x:v>
      </x:c>
      <x:c r="F31" s="40" t="n">
        <x:v>4.6</x:v>
      </x:c>
      <x:c r="G31" s="38" t="n">
        <x:v>1755</x:v>
      </x:c>
      <x:c r="H31" s="4" t="str">
        <x:v>Знаменитая скала «динозавр» и эффектный вид сверху.</x:v>
      </x:c>
      <x:c r="I31" s="4" t="str">
        <x:v>Известное</x:v>
      </x:c>
      <x:c r="J31" s="4" t="str">
        <x:v>1–1,5 ч сверху; спуск дольше</x:v>
      </x:c>
      <x:c r="K31" s="4" t="str">
        <x:v>Сложно</x:v>
      </x:c>
      <x:c r="L31" s="4" t="str">
        <x:v>Катер на Пениду + транспорт + местные сборы</x:v>
      </x:c>
      <x:c r="M31" s="8" t="str">
        <x:f>HYPERLINK("https://www.google.com/maps/search/?api=1&amp;query=-8.751263,115.473131","На карте ↗")</x:f>
        <x:v>На карте ↗</x:v>
      </x:c>
      <x:c r="N31" s="8" t="str">
        <x:f>HYPERLINK("#'Фото'!K119","Фото →")</x:f>
        <x:v>Фото →</x:v>
      </x:c>
      <x:c r="O31" s="8" t="str">
        <x:f>HYPERLINK("#'Отзывы'!A33","2 отзыва →")</x:f>
        <x:v>2 отзыва →</x:v>
      </x:c>
      <x:c r="P31" s="4" t="str"/>
    </x:row>
    <x:row r="32" ht="70.5" customHeight="1">
      <x:c r="A32" s="31" t="n">
        <x:v>22</x:v>
      </x:c>
      <x:c r="B32" s="32" t="n">
        <x:v>38</x:v>
      </x:c>
      <x:c r="C32" s="17" t="str">
        <x:v>Taman Ayun</x:v>
      </x:c>
      <x:c r="D32" s="16" t="str">
        <x:v>Культура</x:v>
      </x:c>
      <x:c r="E32" s="16" t="str">
        <x:v>Менгви</x:v>
      </x:c>
      <x:c r="F32" s="41" t="n">
        <x:v>4.2</x:v>
      </x:c>
      <x:c r="G32" s="39" t="n">
        <x:v>1753</x:v>
      </x:c>
      <x:c r="H32" s="16" t="str">
        <x:v>Храмовый ансамбль с рвом, садами и башнями меру.</x:v>
      </x:c>
      <x:c r="I32" s="16" t="str">
        <x:v>Известное</x:v>
      </x:c>
      <x:c r="J32" s="16" t="str">
        <x:v>45–90 мин</x:v>
      </x:c>
      <x:c r="K32" s="16" t="str">
        <x:v>Легко</x:v>
      </x:c>
      <x:c r="L32" s="16" t="str">
        <x:v>30 тыс. IDR — отзывы 2025–2026</x:v>
      </x:c>
      <x:c r="M32" s="18" t="str">
        <x:f>HYPERLINK("https://www.google.com/maps/search/?api=1&amp;query=-8.541849,115.172493","На карте ↗")</x:f>
        <x:v>На карте ↗</x:v>
      </x:c>
      <x:c r="N32" s="18" t="str">
        <x:f>HYPERLINK("#'Фото'!F175","Фото →")</x:f>
        <x:v>Фото →</x:v>
      </x:c>
      <x:c r="O32" s="18" t="str">
        <x:f>HYPERLINK("#'Отзывы'!A44","2 отзыва →")</x:f>
        <x:v>2 отзыва →</x:v>
      </x:c>
      <x:c r="P32" s="16" t="str"/>
    </x:row>
    <x:row r="33" ht="70.5" customHeight="1">
      <x:c r="A33" s="29" t="n">
        <x:v>23</x:v>
      </x:c>
      <x:c r="B33" s="34" t="n">
        <x:v>1</x:v>
      </x:c>
      <x:c r="C33" s="7" t="str">
        <x:v>Sekumpul Waterfall</x:v>
      </x:c>
      <x:c r="D33" s="4" t="str">
        <x:v>Водопады</x:v>
      </x:c>
      <x:c r="E33" s="4" t="str">
        <x:v>Север</x:v>
      </x:c>
      <x:c r="F33" s="40" t="n">
        <x:v>4.6</x:v>
      </x:c>
      <x:c r="G33" s="38" t="n">
        <x:v>1410</x:v>
      </x:c>
      <x:c r="H33" s="4" t="str">
        <x:v>Мощные каскады среди джунглей; один из главных пейзажей севера.</x:v>
      </x:c>
      <x:c r="I33" s="4" t="str">
        <x:v>Известное</x:v>
      </x:c>
      <x:c r="J33" s="4" t="str">
        <x:v>2–3 ч</x:v>
      </x:c>
      <x:c r="K33" s="4" t="str">
        <x:v>Сложно</x:v>
      </x:c>
      <x:c r="L33" s="4" t="str">
        <x:v>Пакеты с гидом; цену уточнить на официальной кассе</x:v>
      </x:c>
      <x:c r="M33" s="8" t="str">
        <x:f>HYPERLINK("https://www.google.com/maps/search/?api=1&amp;query=-8.17781,115.182691","На карте ↗")</x:f>
        <x:v>На карте ↗</x:v>
      </x:c>
      <x:c r="N33" s="8" t="str">
        <x:f>HYPERLINK("#'Фото'!A7","Фото →")</x:f>
        <x:v>Фото →</x:v>
      </x:c>
      <x:c r="O33" s="8" t="str">
        <x:f>HYPERLINK("#'Отзывы'!A7","2 отзыва →")</x:f>
        <x:v>2 отзыва →</x:v>
      </x:c>
      <x:c r="P33" s="4" t="str"/>
    </x:row>
    <x:row r="34" ht="70.5" customHeight="1">
      <x:c r="A34" s="31" t="n">
        <x:v>24</x:v>
      </x:c>
      <x:c r="B34" s="34" t="n">
        <x:v>9</x:v>
      </x:c>
      <x:c r="C34" s="17" t="str">
        <x:v>Gitgit Waterfall</x:v>
      </x:c>
      <x:c r="D34" s="16" t="str">
        <x:v>Водопады</x:v>
      </x:c>
      <x:c r="E34" s="16" t="str">
        <x:v>Север</x:v>
      </x:c>
      <x:c r="F34" s="41" t="n">
        <x:v>3.9</x:v>
      </x:c>
      <x:c r="G34" s="39" t="n">
        <x:v>1370</x:v>
      </x:c>
      <x:c r="H34" s="16" t="str">
        <x:v>Классический водопад севера и зелёная дорожка к нему.</x:v>
      </x:c>
      <x:c r="I34" s="16" t="str">
        <x:v>Известное</x:v>
      </x:c>
      <x:c r="J34" s="16" t="str">
        <x:v>1–1,5 ч</x:v>
      </x:c>
      <x:c r="K34" s="16" t="str">
        <x:v>Средне</x:v>
      </x:c>
      <x:c r="L34" s="16" t="str">
        <x:v>Вход платный; тариф уточнить</x:v>
      </x:c>
      <x:c r="M34" s="18" t="str">
        <x:f>HYPERLINK("https://www.google.com/maps/search/?api=1&amp;query=-8.193562,115.135075","На карте ↗")</x:f>
        <x:v>На карте ↗</x:v>
      </x:c>
      <x:c r="N34" s="18" t="str">
        <x:f>HYPERLINK("#'Фото'!K35","Фото →")</x:f>
        <x:v>Фото →</x:v>
      </x:c>
      <x:c r="O34" s="18" t="str">
        <x:f>HYPERLINK("#'Отзывы'!A15","2 отзыва →")</x:f>
        <x:v>2 отзыва →</x:v>
      </x:c>
      <x:c r="P34" s="16" t="str"/>
    </x:row>
    <x:row r="35" ht="70.5" customHeight="1">
      <x:c r="A35" s="29" t="n">
        <x:v>25</x:v>
      </x:c>
      <x:c r="B35" s="35" t="n">
        <x:v>69</x:v>
      </x:c>
      <x:c r="C35" s="7" t="str">
        <x:v>La Brisa</x:v>
      </x:c>
      <x:c r="D35" s="4" t="str">
        <x:v>Где поесть</x:v>
      </x:c>
      <x:c r="E35" s="4" t="str">
        <x:v>Чангу</x:v>
      </x:c>
      <x:c r="F35" s="40" t="n">
        <x:v>4.1</x:v>
      </x:c>
      <x:c r="G35" s="38" t="n">
        <x:v>1357</x:v>
      </x:c>
      <x:c r="H35" s="4" t="str">
        <x:v>Beach club на Echo Beach: закат, коктейли, деревянный интерьер.</x:v>
      </x:c>
      <x:c r="I35" s="4" t="str">
        <x:v>Известное</x:v>
      </x:c>
      <x:c r="J35" s="4" t="str">
        <x:v>2–4 ч</x:v>
      </x:c>
      <x:c r="K35" s="4" t="str">
        <x:v>Легко</x:v>
      </x:c>
      <x:c r="L35" s="4" t="str">
        <x:v>$$–$$$; депозит/minimum spend зависит от посадки</x:v>
      </x:c>
      <x:c r="M35" s="8" t="str">
        <x:f>HYPERLINK("https://www.google.com/maps/search/?api=1&amp;query=-8.65458,115.124811","На карте ↗")</x:f>
        <x:v>На карте ↗</x:v>
      </x:c>
      <x:c r="N35" s="8" t="str">
        <x:f>HYPERLINK("#'Фото'!K315","Фото →")</x:f>
        <x:v>Фото →</x:v>
      </x:c>
      <x:c r="O35" s="8" t="str">
        <x:f>HYPERLINK("#'Отзывы'!A75","2 отзыва →")</x:f>
        <x:v>2 отзыва →</x:v>
      </x:c>
      <x:c r="P35" s="4" t="str"/>
    </x:row>
    <x:row r="36" ht="70.5" customHeight="1">
      <x:c r="A36" s="31" t="n">
        <x:v>26</x:v>
      </x:c>
      <x:c r="B36" s="32" t="n">
        <x:v>40</x:v>
      </x:c>
      <x:c r="C36" s="17" t="str">
        <x:v>Taman Ujung</x:v>
      </x:c>
      <x:c r="D36" s="16" t="str">
        <x:v>Культура</x:v>
      </x:c>
      <x:c r="E36" s="16" t="str">
        <x:v>Карангасем</x:v>
      </x:c>
      <x:c r="F36" s="41" t="n">
        <x:v>4.4</x:v>
      </x:c>
      <x:c r="G36" s="39" t="n">
        <x:v>1340</x:v>
      </x:c>
      <x:c r="H36" s="16" t="str">
        <x:v>Просторный водный дворец, мосты и виды на восточное побережье.</x:v>
      </x:c>
      <x:c r="I36" s="16" t="str">
        <x:v>Неочевидное</x:v>
      </x:c>
      <x:c r="J36" s="16" t="str">
        <x:v>1–2 ч</x:v>
      </x:c>
      <x:c r="K36" s="16" t="str">
        <x:v>Средне</x:v>
      </x:c>
      <x:c r="L36" s="16" t="str">
        <x:v>100 тыс. IDR — отзыв 12.2024, устаревающий ориентир</x:v>
      </x:c>
      <x:c r="M36" s="18" t="str">
        <x:f>HYPERLINK("https://www.google.com/maps/search/?api=1&amp;query=-8.464546,115.630495","На карте ↗")</x:f>
        <x:v>На карте ↗</x:v>
      </x:c>
      <x:c r="N36" s="18" t="str">
        <x:f>HYPERLINK("#'Фото'!A189","Фото →")</x:f>
        <x:v>Фото →</x:v>
      </x:c>
      <x:c r="O36" s="18" t="str">
        <x:f>HYPERLINK("#'Отзывы'!A46","2 отзыва →")</x:f>
        <x:v>2 отзыва →</x:v>
      </x:c>
      <x:c r="P36" s="16" t="str"/>
    </x:row>
    <x:row r="37" ht="70.5" customHeight="1">
      <x:c r="A37" s="29" t="n">
        <x:v>27</x:v>
      </x:c>
      <x:c r="B37" s="32" t="n">
        <x:v>36</x:v>
      </x:c>
      <x:c r="C37" s="7" t="str">
        <x:v>Gunung Kawi Tampaksiring</x:v>
      </x:c>
      <x:c r="D37" s="4" t="str">
        <x:v>Культура</x:v>
      </x:c>
      <x:c r="E37" s="4" t="str">
        <x:v>Тампаксиринг</x:v>
      </x:c>
      <x:c r="F37" s="40" t="n">
        <x:v>4.5</x:v>
      </x:c>
      <x:c r="G37" s="38" t="n">
        <x:v>1258</x:v>
      </x:c>
      <x:c r="H37" s="4" t="str">
        <x:v>Высеченные в скале святилища среди рисовых полей и долины реки.</x:v>
      </x:c>
      <x:c r="I37" s="4" t="str">
        <x:v>Неочевидное</x:v>
      </x:c>
      <x:c r="J37" s="4" t="str">
        <x:v>1,5–2 ч</x:v>
      </x:c>
      <x:c r="K37" s="4" t="str">
        <x:v>Сложно</x:v>
      </x:c>
      <x:c r="L37" s="4" t="str">
        <x:v>Вход платный; тариф уточнить</x:v>
      </x:c>
      <x:c r="M37" s="8" t="str">
        <x:f>HYPERLINK("https://www.google.com/maps/search/?api=1&amp;query=-8.422963,115.312533","На карте ↗")</x:f>
        <x:v>На карте ↗</x:v>
      </x:c>
      <x:c r="N37" s="8" t="str">
        <x:f>HYPERLINK("#'Фото'!K161","Фото →")</x:f>
        <x:v>Фото →</x:v>
      </x:c>
      <x:c r="O37" s="8" t="str">
        <x:f>HYPERLINK("#'Отзывы'!A42","2 отзыва →")</x:f>
        <x:v>2 отзыва →</x:v>
      </x:c>
      <x:c r="P37" s="4" t="str"/>
    </x:row>
    <x:row r="38" ht="70.5" customHeight="1">
      <x:c r="A38" s="31" t="n">
        <x:v>28</x:v>
      </x:c>
      <x:c r="B38" s="33" t="n">
        <x:v>19</x:v>
      </x:c>
      <x:c r="C38" s="17" t="str">
        <x:v>Balangan Beach</x:v>
      </x:c>
      <x:c r="D38" s="16" t="str">
        <x:v>Пляжи</x:v>
      </x:c>
      <x:c r="E38" s="16" t="str">
        <x:v>Букит</x:v>
      </x:c>
      <x:c r="F38" s="41" t="n">
        <x:v>4.3</x:v>
      </x:c>
      <x:c r="G38" s="39" t="n">
        <x:v>1256</x:v>
      </x:c>
      <x:c r="H38" s="16" t="str">
        <x:v>Длинная песчаная полоса, серферы и вид со скалы.</x:v>
      </x:c>
      <x:c r="I38" s="16" t="str">
        <x:v>Известное</x:v>
      </x:c>
      <x:c r="J38" s="16" t="str">
        <x:v>2–3 ч</x:v>
      </x:c>
      <x:c r="K38" s="16" t="str">
        <x:v>Средне</x:v>
      </x:c>
      <x:c r="L38" s="16" t="str">
        <x:v>Парковка/сервисы; тариф уточнить</x:v>
      </x:c>
      <x:c r="M38" s="18" t="str">
        <x:f>HYPERLINK("https://www.google.com/maps/search/?api=1&amp;query=-8.792327,115.123196","На карте ↗")</x:f>
        <x:v>На карте ↗</x:v>
      </x:c>
      <x:c r="N38" s="18" t="str">
        <x:f>HYPERLINK("#'Фото'!A91","Фото →")</x:f>
        <x:v>Фото →</x:v>
      </x:c>
      <x:c r="O38" s="18" t="str">
        <x:f>HYPERLINK("#'Отзывы'!A25","2 отзыва →")</x:f>
        <x:v>2 отзыва →</x:v>
      </x:c>
      <x:c r="P38" s="16" t="str"/>
    </x:row>
    <x:row r="39" ht="70.5" customHeight="1">
      <x:c r="A39" s="29" t="n">
        <x:v>29</x:v>
      </x:c>
      <x:c r="B39" s="32" t="n">
        <x:v>43</x:v>
      </x:c>
      <x:c r="C39" s="7" t="str">
        <x:v>Lempuyang Temple</x:v>
      </x:c>
      <x:c r="D39" s="4" t="str">
        <x:v>Культура</x:v>
      </x:c>
      <x:c r="E39" s="4" t="str">
        <x:v>Карангасем</x:v>
      </x:c>
      <x:c r="F39" s="40" t="n">
        <x:v>3.9</x:v>
      </x:c>
      <x:c r="G39" s="38" t="n">
        <x:v>1244</x:v>
      </x:c>
      <x:c r="H39" s="4" t="str">
        <x:v>Ворота с видом на Агунг; вокруг большой храмовый комплекс.</x:v>
      </x:c>
      <x:c r="I39" s="4" t="str">
        <x:v>Известное</x:v>
      </x:c>
      <x:c r="J39" s="4" t="str">
        <x:v>1–3 ч и очередь на фото</x:v>
      </x:c>
      <x:c r="K39" s="4" t="str">
        <x:v>Средне</x:v>
      </x:c>
      <x:c r="L39" s="4" t="str">
        <x:v>Шаттл и храм отдельно; 50 + 70 тыс. IDR в отзыве 02.2026</x:v>
      </x:c>
      <x:c r="M39" s="8" t="str">
        <x:f>HYPERLINK("https://www.google.com/maps/search/?api=1&amp;query=-8.391277,115.630549","На карте ↗")</x:f>
        <x:v>На карте ↗</x:v>
      </x:c>
      <x:c r="N39" s="8" t="str">
        <x:f>HYPERLINK("#'Фото'!A203","Фото →")</x:f>
        <x:v>Фото →</x:v>
      </x:c>
      <x:c r="O39" s="8" t="str">
        <x:f>HYPERLINK("#'Отзывы'!A49","2 отзыва →")</x:f>
        <x:v>2 отзыва →</x:v>
      </x:c>
      <x:c r="P39" s="4" t="str"/>
    </x:row>
    <x:row r="40" ht="70.5" customHeight="1">
      <x:c r="A40" s="31" t="n">
        <x:v>30</x:v>
      </x:c>
      <x:c r="B40" s="35" t="n">
        <x:v>61</x:v>
      </x:c>
      <x:c r="C40" s="17" t="str">
        <x:v>Babi Guling Pak Malen</x:v>
      </x:c>
      <x:c r="D40" s="16" t="str">
        <x:v>Где поесть</x:v>
      </x:c>
      <x:c r="E40" s="16" t="str">
        <x:v>Семиньяк</x:v>
      </x:c>
      <x:c r="F40" s="41" t="n">
        <x:v>4</x:v>
      </x:c>
      <x:c r="G40" s="39" t="n">
        <x:v>1203</x:v>
      </x:c>
      <x:c r="H40" s="16" t="str">
        <x:v>Babi guling и насыщенный свиной бульон в Семиньяке.</x:v>
      </x:c>
      <x:c r="I40" s="16" t="str">
        <x:v>Известное</x:v>
      </x:c>
      <x:c r="J40" s="16" t="str">
        <x:v>45–75 мин</x:v>
      </x:c>
      <x:c r="K40" s="16" t="str">
        <x:v>Легко</x:v>
      </x:c>
      <x:c r="L40" s="16" t="str">
        <x:v>$; текущий чек уточнить</x:v>
      </x:c>
      <x:c r="M40" s="18" t="str">
        <x:f>HYPERLINK("https://www.google.com/maps/search/?api=1&amp;query=-8.684797,115.169077","На карте ↗")</x:f>
        <x:v>На карте ↗</x:v>
      </x:c>
      <x:c r="N40" s="18" t="str">
        <x:f>HYPERLINK("#'Фото'!A287","Фото →")</x:f>
        <x:v>Фото →</x:v>
      </x:c>
      <x:c r="O40" s="18" t="str">
        <x:f>HYPERLINK("#'Отзывы'!A67","2 отзыва →")</x:f>
        <x:v>2 отзыва →</x:v>
      </x:c>
      <x:c r="P40" s="16" t="str"/>
    </x:row>
    <x:row r="41" ht="70.5" customHeight="1">
      <x:c r="A41" s="29" t="n">
        <x:v>31</x:v>
      </x:c>
      <x:c r="B41" s="33" t="n">
        <x:v>25</x:v>
      </x:c>
      <x:c r="C41" s="7" t="str">
        <x:v>Jemeluk Beach</x:v>
      </x:c>
      <x:c r="D41" s="4" t="str">
        <x:v>Пляжи</x:v>
      </x:c>
      <x:c r="E41" s="4" t="str">
        <x:v>Амед</x:v>
      </x:c>
      <x:c r="F41" s="40" t="n">
        <x:v>4.3</x:v>
      </x:c>
      <x:c r="G41" s="38" t="n">
        <x:v>1030</x:v>
      </x:c>
      <x:c r="H41" s="4" t="str">
        <x:v>Бухта Амеда для снорклинга у берега и вида на Агунг.</x:v>
      </x:c>
      <x:c r="I41" s="4" t="str">
        <x:v>Известное</x:v>
      </x:c>
      <x:c r="J41" s="4" t="str">
        <x:v>2–4 ч</x:v>
      </x:c>
      <x:c r="K41" s="4" t="str">
        <x:v>Легко</x:v>
      </x:c>
      <x:c r="L41" s="4" t="str">
        <x:v>Пляж; прокат снаряжения отдельно</x:v>
      </x:c>
      <x:c r="M41" s="8" t="str">
        <x:f>HYPERLINK("https://www.google.com/maps/search/?api=1&amp;query=-8.338144,115.660296","На карте ↗")</x:f>
        <x:v>На карте ↗</x:v>
      </x:c>
      <x:c r="N41" s="8" t="str">
        <x:f>HYPERLINK("#'Фото'!A119","Фото →")</x:f>
        <x:v>Фото →</x:v>
      </x:c>
      <x:c r="O41" s="8" t="str">
        <x:f>HYPERLINK("#'Отзывы'!A31","2 отзыва →")</x:f>
        <x:v>2 отзыва →</x:v>
      </x:c>
      <x:c r="P41" s="4" t="str"/>
    </x:row>
    <x:row r="42" ht="70.5" customHeight="1">
      <x:c r="A42" s="31" t="n">
        <x:v>32</x:v>
      </x:c>
      <x:c r="B42" s="33" t="n">
        <x:v>30</x:v>
      </x:c>
      <x:c r="C42" s="17" t="str">
        <x:v>Crystal Bay</x:v>
      </x:c>
      <x:c r="D42" s="16" t="str">
        <x:v>Пляжи</x:v>
      </x:c>
      <x:c r="E42" s="16" t="str">
        <x:v>Нуса-Пенида</x:v>
      </x:c>
      <x:c r="F42" s="41" t="n">
        <x:v>3.8</x:v>
      </x:c>
      <x:c r="G42" s="39" t="n">
        <x:v>947</x:v>
      </x:c>
      <x:c r="H42" s="16" t="str">
        <x:v>Бухта с пальмами и удобным подъездом на западной Пениде.</x:v>
      </x:c>
      <x:c r="I42" s="16" t="str">
        <x:v>Известное</x:v>
      </x:c>
      <x:c r="J42" s="16" t="str">
        <x:v>2–3 ч</x:v>
      </x:c>
      <x:c r="K42" s="16" t="str">
        <x:v>Легко</x:v>
      </x:c>
      <x:c r="L42" s="16" t="str">
        <x:v>Катер, транспорт; парковка/прокат отдельно</x:v>
      </x:c>
      <x:c r="M42" s="18" t="str">
        <x:f>HYPERLINK("https://www.google.com/maps/search/?api=1&amp;query=-8.715073,115.457744","На карте ↗")</x:f>
        <x:v>На карте ↗</x:v>
      </x:c>
      <x:c r="N42" s="18" t="str">
        <x:f>HYPERLINK("#'Фото'!K133","Фото →")</x:f>
        <x:v>Фото →</x:v>
      </x:c>
      <x:c r="O42" s="18" t="str">
        <x:f>HYPERLINK("#'Отзывы'!A36","2 отзыва →")</x:f>
        <x:v>2 отзыва →</x:v>
      </x:c>
      <x:c r="P42" s="16" t="str"/>
    </x:row>
    <x:row r="43" ht="70.5" customHeight="1">
      <x:c r="A43" s="29" t="n">
        <x:v>33</x:v>
      </x:c>
      <x:c r="B43" s="35" t="n">
        <x:v>65</x:v>
      </x:c>
      <x:c r="C43" s="7" t="str">
        <x:v>Warung Mak Beng</x:v>
      </x:c>
      <x:c r="D43" s="4" t="str">
        <x:v>Где поесть</x:v>
      </x:c>
      <x:c r="E43" s="4" t="str">
        <x:v>Санур</x:v>
      </x:c>
      <x:c r="F43" s="40" t="n">
        <x:v>4.3</x:v>
      </x:c>
      <x:c r="G43" s="38" t="n">
        <x:v>890</x:v>
      </x:c>
      <x:c r="H43" s="4" t="str">
        <x:v>Один фирменный сет: жареная рыба, рыбный суп и рис.</x:v>
      </x:c>
      <x:c r="I43" s="4" t="str">
        <x:v>Известное</x:v>
      </x:c>
      <x:c r="J43" s="4" t="str">
        <x:v>45–60 мин</x:v>
      </x:c>
      <x:c r="K43" s="4" t="str">
        <x:v>Легко</x:v>
      </x:c>
      <x:c r="L43" s="4" t="str">
        <x:v>$; 55 тыс. IDR за сет в отзыве 05.2025</x:v>
      </x:c>
      <x:c r="M43" s="8" t="str">
        <x:f>HYPERLINK("https://www.google.com/maps/search/?api=1&amp;query=-8.673727,115.263046","На карте ↗")</x:f>
        <x:v>На карте ↗</x:v>
      </x:c>
      <x:c r="N43" s="8" t="str">
        <x:f>HYPERLINK("#'Фото'!F301","Фото →")</x:f>
        <x:v>Фото →</x:v>
      </x:c>
      <x:c r="O43" s="8" t="str">
        <x:f>HYPERLINK("#'Отзывы'!A71","2 отзыва →")</x:f>
        <x:v>2 отзыва →</x:v>
      </x:c>
      <x:c r="P43" s="4" t="str"/>
    </x:row>
    <x:row r="44" ht="70.5" customHeight="1">
      <x:c r="A44" s="31" t="n">
        <x:v>34</x:v>
      </x:c>
      <x:c r="B44" s="33" t="n">
        <x:v>18</x:v>
      </x:c>
      <x:c r="C44" s="17" t="str">
        <x:v>Bingin Beach</x:v>
      </x:c>
      <x:c r="D44" s="16" t="str">
        <x:v>Пляжи</x:v>
      </x:c>
      <x:c r="E44" s="16" t="str">
        <x:v>Букит</x:v>
      </x:c>
      <x:c r="F44" s="41" t="n">
        <x:v>4.2</x:v>
      </x:c>
      <x:c r="G44" s="39" t="n">
        <x:v>782</x:v>
      </x:c>
      <x:c r="H44" s="27" t="str">
        <x:v>Известный серф-пляж, который сильно изменился после сноса заведений.</x:v>
      </x:c>
      <x:c r="I44" s="28" t="str">
        <x:v>Сначала проверить</x:v>
      </x:c>
      <x:c r="J44" s="27" t="str">
        <x:v>1–2 ч</x:v>
      </x:c>
      <x:c r="K44" s="27" t="str">
        <x:v>Средне</x:v>
      </x:c>
      <x:c r="L44" s="27" t="str">
        <x:v>Парковка; актуальные условия уточнить</x:v>
      </x:c>
      <x:c r="M44" s="18" t="str">
        <x:f>HYPERLINK("https://www.google.com/maps/search/?api=1&amp;query=-8.80567,115.113067","На карте ↗")</x:f>
        <x:v>На карте ↗</x:v>
      </x:c>
      <x:c r="N44" s="18" t="str">
        <x:f>HYPERLINK("#'Фото'!K77","Фото →")</x:f>
        <x:v>Фото →</x:v>
      </x:c>
      <x:c r="O44" s="18" t="str">
        <x:f>HYPERLINK("#'Отзывы'!A24","2 отзыва →")</x:f>
        <x:v>2 отзыва →</x:v>
      </x:c>
      <x:c r="P44" s="16" t="str"/>
    </x:row>
    <x:row r="45" ht="70.5" customHeight="1">
      <x:c r="A45" s="29" t="n">
        <x:v>35</x:v>
      </x:c>
      <x:c r="B45" s="30" t="n">
        <x:v>58</x:v>
      </x:c>
      <x:c r="C45" s="7" t="str">
        <x:v>Bali Butterfly Park</x:v>
      </x:c>
      <x:c r="D45" s="4" t="str">
        <x:v>Природа и прогулки</x:v>
      </x:c>
      <x:c r="E45" s="4" t="str">
        <x:v>Табанан</x:v>
      </x:c>
      <x:c r="F45" s="40" t="n">
        <x:v>4</x:v>
      </x:c>
      <x:c r="G45" s="38" t="n">
        <x:v>698</x:v>
      </x:c>
      <x:c r="H45" s="4" t="str">
        <x:v>Небольшой парк бабочек и насекомых; дополнение к маршруту Табанана.</x:v>
      </x:c>
      <x:c r="I45" s="4" t="str">
        <x:v>Известное</x:v>
      </x:c>
      <x:c r="J45" s="4" t="str">
        <x:v>45–90 мин</x:v>
      </x:c>
      <x:c r="K45" s="4" t="str">
        <x:v>Легко</x:v>
      </x:c>
      <x:c r="L45" s="4" t="str">
        <x:v>Вход платный; тариф уточнить</x:v>
      </x:c>
      <x:c r="M45" s="8" t="str">
        <x:f>HYPERLINK("https://www.google.com/maps/search/?api=1&amp;query=-8.479459,115.134629","На карте ↗")</x:f>
        <x:v>На карте ↗</x:v>
      </x:c>
      <x:c r="N45" s="8" t="str">
        <x:f>HYPERLINK("#'Фото'!A273","Фото →")</x:f>
        <x:v>Фото →</x:v>
      </x:c>
      <x:c r="O45" s="8" t="str">
        <x:f>HYPERLINK("#'Отзывы'!A64","2 отзыва →")</x:f>
        <x:v>2 отзыва →</x:v>
      </x:c>
      <x:c r="P45" s="4" t="str"/>
    </x:row>
    <x:row r="46" ht="70.5" customHeight="1">
      <x:c r="A46" s="31" t="n">
        <x:v>36</x:v>
      </x:c>
      <x:c r="B46" s="32" t="n">
        <x:v>57</x:v>
      </x:c>
      <x:c r="C46" s="17" t="str">
        <x:v>Tenganan Ancient Village</x:v>
      </x:c>
      <x:c r="D46" s="16" t="str">
        <x:v>Культура</x:v>
      </x:c>
      <x:c r="E46" s="16" t="str">
        <x:v>Карангасем</x:v>
      </x:c>
      <x:c r="F46" s="41" t="n">
        <x:v>3.4</x:v>
      </x:c>
      <x:c r="G46" s="39" t="n">
        <x:v>560</x:v>
      </x:c>
      <x:c r="H46" s="16" t="str">
        <x:v>Деревня Тенганан, традиционное ткачество и местная культура.</x:v>
      </x:c>
      <x:c r="I46" s="16" t="str">
        <x:v>Неочевидное</x:v>
      </x:c>
      <x:c r="J46" s="16" t="str">
        <x:v>1–1,5 ч</x:v>
      </x:c>
      <x:c r="K46" s="16" t="str">
        <x:v>Легко</x:v>
      </x:c>
      <x:c r="L46" s="16" t="str">
        <x:v>Вход/пожертвование; гида согласовать</x:v>
      </x:c>
      <x:c r="M46" s="18" t="str">
        <x:f>HYPERLINK("https://www.google.com/maps/search/?api=1&amp;query=Tenganan%20Ancient%20Village%20Bali","На карте ↗")</x:f>
        <x:v>На карте ↗</x:v>
      </x:c>
      <x:c r="N46" s="18" t="str">
        <x:f>HYPERLINK("#'Фото'!K259","Фото →")</x:f>
        <x:v>Фото →</x:v>
      </x:c>
      <x:c r="O46" s="18" t="str">
        <x:f>HYPERLINK("#'Отзывы'!A63","2 отзыва →")</x:f>
        <x:v>2 отзыва →</x:v>
      </x:c>
      <x:c r="P46" s="16" t="str"/>
    </x:row>
    <x:row r="47" ht="70.5" customHeight="1">
      <x:c r="A47" s="29" t="n">
        <x:v>37</x:v>
      </x:c>
      <x:c r="B47" s="32" t="n">
        <x:v>41</x:v>
      </x:c>
      <x:c r="C47" s="7" t="str">
        <x:v>Penglipuran Village</x:v>
      </x:c>
      <x:c r="D47" s="4" t="str">
        <x:v>Культура</x:v>
      </x:c>
      <x:c r="E47" s="4" t="str">
        <x:v>Бангли</x:v>
      </x:c>
      <x:c r="F47" s="40" t="n">
        <x:v>4.3</x:v>
      </x:c>
      <x:c r="G47" s="38" t="n">
        <x:v>527</x:v>
      </x:c>
      <x:c r="H47" s="4" t="str">
        <x:v>Традиционная планировка деревни и прогулка к бамбуковому лесу.</x:v>
      </x:c>
      <x:c r="I47" s="4" t="str">
        <x:v>Известное</x:v>
      </x:c>
      <x:c r="J47" s="4" t="str">
        <x:v>1–1,5 ч</x:v>
      </x:c>
      <x:c r="K47" s="4" t="str">
        <x:v>Легко</x:v>
      </x:c>
      <x:c r="L47" s="4" t="str">
        <x:v>Вход платный; тариф уточнить</x:v>
      </x:c>
      <x:c r="M47" s="8" t="str">
        <x:f>HYPERLINK("https://www.google.com/maps/search/?api=1&amp;query=Penglipuran%20Village%20Bali","На карте ↗")</x:f>
        <x:v>На карте ↗</x:v>
      </x:c>
      <x:c r="N47" s="8" t="str">
        <x:f>HYPERLINK("#'Фото'!F189","Фото →")</x:f>
        <x:v>Фото →</x:v>
      </x:c>
      <x:c r="O47" s="8" t="str">
        <x:f>HYPERLINK("#'Отзывы'!A47","2 отзыва →")</x:f>
        <x:v>2 отзыва →</x:v>
      </x:c>
      <x:c r="P47" s="4" t="str"/>
    </x:row>
    <x:row r="48" ht="70.5" customHeight="1">
      <x:c r="A48" s="31" t="n">
        <x:v>38</x:v>
      </x:c>
      <x:c r="B48" s="33" t="n">
        <x:v>15</x:v>
      </x:c>
      <x:c r="C48" s="17" t="str">
        <x:v>Melasti Beach Ungasan</x:v>
      </x:c>
      <x:c r="D48" s="16" t="str">
        <x:v>Пляжи</x:v>
      </x:c>
      <x:c r="E48" s="16" t="str">
        <x:v>Букит</x:v>
      </x:c>
      <x:c r="F48" s="41" t="n">
        <x:v>4.5</x:v>
      </x:c>
      <x:c r="G48" s="39" t="n">
        <x:v>526</x:v>
      </x:c>
      <x:c r="H48" s="16" t="str">
        <x:v>Бирюзовая вода и эффектная дорога между белыми скалами.</x:v>
      </x:c>
      <x:c r="I48" s="16" t="str">
        <x:v>Известное</x:v>
      </x:c>
      <x:c r="J48" s="16" t="str">
        <x:v>2–4 ч</x:v>
      </x:c>
      <x:c r="K48" s="16" t="str">
        <x:v>Легко</x:v>
      </x:c>
      <x:c r="L48" s="16" t="str">
        <x:v>Вход/парковка; клубы и лежаки отдельно</x:v>
      </x:c>
      <x:c r="M48" s="18" t="str">
        <x:f>HYPERLINK("https://www.google.com/maps/search/?api=1&amp;query=-8.848292,115.157572","На карте ↗")</x:f>
        <x:v>На карте ↗</x:v>
      </x:c>
      <x:c r="N48" s="18" t="str">
        <x:f>HYPERLINK("#'Фото'!K63","Фото →")</x:f>
        <x:v>Фото →</x:v>
      </x:c>
      <x:c r="O48" s="18" t="str">
        <x:f>HYPERLINK("#'Отзывы'!A21","2 отзыва →")</x:f>
        <x:v>2 отзыва →</x:v>
      </x:c>
      <x:c r="P48" s="16" t="str"/>
    </x:row>
    <x:row r="49" ht="70.5" customHeight="1">
      <x:c r="A49" s="29" t="n">
        <x:v>39</x:v>
      </x:c>
      <x:c r="B49" s="30" t="n">
        <x:v>53</x:v>
      </x:c>
      <x:c r="C49" s="7" t="str">
        <x:v>Sangeh Monkey Forest</x:v>
      </x:c>
      <x:c r="D49" s="4" t="str">
        <x:v>Природа и прогулки</x:v>
      </x:c>
      <x:c r="E49" s="4" t="str">
        <x:v>Менгви</x:v>
      </x:c>
      <x:c r="F49" s="40" t="n">
        <x:v>4.3</x:v>
      </x:c>
      <x:c r="G49" s="38" t="n">
        <x:v>505</x:v>
      </x:c>
      <x:c r="H49" s="4" t="str">
        <x:v>Лес высоких деревьев с обезьянами за пределами центрального Убуда.</x:v>
      </x:c>
      <x:c r="I49" s="4" t="str">
        <x:v>Неочевидное</x:v>
      </x:c>
      <x:c r="J49" s="4" t="str">
        <x:v>1–1,5 ч</x:v>
      </x:c>
      <x:c r="K49" s="4" t="str">
        <x:v>Средне</x:v>
      </x:c>
      <x:c r="L49" s="4" t="str">
        <x:v>Вход; условия сопровождения/фото уточнить</x:v>
      </x:c>
      <x:c r="M49" s="8" t="str">
        <x:f>HYPERLINK("https://www.google.com/maps/search/?api=1&amp;query=-8.479949,115.206448","На карте ↗")</x:f>
        <x:v>На карте ↗</x:v>
      </x:c>
      <x:c r="N49" s="8" t="str">
        <x:f>HYPERLINK("#'Фото'!F245","Фото →")</x:f>
        <x:v>Фото →</x:v>
      </x:c>
      <x:c r="O49" s="8" t="str">
        <x:f>HYPERLINK("#'Отзывы'!A59","2 отзыва →")</x:f>
        <x:v>2 отзыва →</x:v>
      </x:c>
      <x:c r="P49" s="4" t="str"/>
    </x:row>
    <x:row r="50" ht="70.5" customHeight="1">
      <x:c r="A50" s="31" t="n">
        <x:v>40</x:v>
      </x:c>
      <x:c r="B50" s="30" t="n">
        <x:v>54</x:v>
      </x:c>
      <x:c r="C50" s="17" t="str">
        <x:v>Bali Botanic Garden</x:v>
      </x:c>
      <x:c r="D50" s="16" t="str">
        <x:v>Природа и прогулки</x:v>
      </x:c>
      <x:c r="E50" s="16" t="str">
        <x:v>Бедугул</x:v>
      </x:c>
      <x:c r="F50" s="41" t="n">
        <x:v>4.1</x:v>
      </x:c>
      <x:c r="G50" s="39" t="n">
        <x:v>504</x:v>
      </x:c>
      <x:c r="H50" s="16" t="str">
        <x:v>Большой ботанический сад в прохладном Бедугуле.</x:v>
      </x:c>
      <x:c r="I50" s="16" t="str">
        <x:v>Известное</x:v>
      </x:c>
      <x:c r="J50" s="16" t="str">
        <x:v>2–3 ч</x:v>
      </x:c>
      <x:c r="K50" s="16" t="str">
        <x:v>Легко</x:v>
      </x:c>
      <x:c r="L50" s="16" t="str">
        <x:v>Вход платный; прокат отдельно</x:v>
      </x:c>
      <x:c r="M50" s="18" t="str">
        <x:f>HYPERLINK("https://www.google.com/maps/search/?api=1&amp;query=-8.273983,115.153834","На карте ↗")</x:f>
        <x:v>На карте ↗</x:v>
      </x:c>
      <x:c r="N50" s="18" t="str">
        <x:f>HYPERLINK("#'Фото'!K245","Фото →")</x:f>
        <x:v>Фото →</x:v>
      </x:c>
      <x:c r="O50" s="18" t="str">
        <x:f>HYPERLINK("#'Отзывы'!A60","2 отзыва →")</x:f>
        <x:v>2 отзыва →</x:v>
      </x:c>
      <x:c r="P50" s="16" t="str"/>
    </x:row>
    <x:row r="51" ht="70.5" customHeight="1">
      <x:c r="A51" s="29" t="n">
        <x:v>41</x:v>
      </x:c>
      <x:c r="B51" s="35" t="n">
        <x:v>70</x:v>
      </x:c>
      <x:c r="C51" s="7" t="str">
        <x:v>Zest Ubud</x:v>
      </x:c>
      <x:c r="D51" s="4" t="str">
        <x:v>Где поесть</x:v>
      </x:c>
      <x:c r="E51" s="4" t="str">
        <x:v>Убуд</x:v>
      </x:c>
      <x:c r="F51" s="40" t="n">
        <x:v>4.3</x:v>
      </x:c>
      <x:c r="G51" s="38" t="n">
        <x:v>487</x:v>
      </x:c>
      <x:c r="H51" s="4" t="str">
        <x:v>Растительная кухня, зелень и выразительный интерьер над долиной.</x:v>
      </x:c>
      <x:c r="I51" s="4" t="str">
        <x:v>Известное</x:v>
      </x:c>
      <x:c r="J51" s="4" t="str">
        <x:v>1–1,5 ч</x:v>
      </x:c>
      <x:c r="K51" s="4" t="str">
        <x:v>Легко</x:v>
      </x:c>
      <x:c r="L51" s="4" t="str">
        <x:v>$$–$$$; текущий чек уточнить</x:v>
      </x:c>
      <x:c r="M51" s="8" t="str">
        <x:f>HYPERLINK("https://www.google.com/maps/search/?api=1&amp;query=-8.505024,115.25378","На карте ↗")</x:f>
        <x:v>На карте ↗</x:v>
      </x:c>
      <x:c r="N51" s="8" t="str">
        <x:f>HYPERLINK("#'Фото'!A329","Фото →")</x:f>
        <x:v>Фото →</x:v>
      </x:c>
      <x:c r="O51" s="8" t="str">
        <x:f>HYPERLINK("#'Отзывы'!A76","2 отзыва →")</x:f>
        <x:v>2 отзыва →</x:v>
      </x:c>
      <x:c r="P51" s="4" t="str"/>
    </x:row>
    <x:row r="52" ht="70.5" customHeight="1">
      <x:c r="A52" s="31" t="n">
        <x:v>42</x:v>
      </x:c>
      <x:c r="B52" s="34" t="n">
        <x:v>10</x:v>
      </x:c>
      <x:c r="C52" s="17" t="str">
        <x:v>Munduk Waterfall</x:v>
      </x:c>
      <x:c r="D52" s="16" t="str">
        <x:v>Водопады</x:v>
      </x:c>
      <x:c r="E52" s="16" t="str">
        <x:v>Мундук</x:v>
      </x:c>
      <x:c r="F52" s="41" t="n">
        <x:v>4.3</x:v>
      </x:c>
      <x:c r="G52" s="39" t="n">
        <x:v>473</x:v>
      </x:c>
      <x:c r="H52" s="16" t="str">
        <x:v>Red Coral / Munduk: лесная тропа, специи и мощная струя.</x:v>
      </x:c>
      <x:c r="I52" s="16" t="str">
        <x:v>Известное</x:v>
      </x:c>
      <x:c r="J52" s="16" t="str">
        <x:v>1–2 ч</x:v>
      </x:c>
      <x:c r="K52" s="16" t="str">
        <x:v>Средне</x:v>
      </x:c>
      <x:c r="L52" s="16" t="str">
        <x:v>На разных водопадах маршрута отдельные сборы</x:v>
      </x:c>
      <x:c r="M52" s="18" t="str">
        <x:f>HYPERLINK("https://www.google.com/maps/search/?api=1&amp;query=-8.257106,115.070382","На карте ↗")</x:f>
        <x:v>На карте ↗</x:v>
      </x:c>
      <x:c r="N52" s="18" t="str">
        <x:f>HYPERLINK("#'Фото'!A49","Фото →")</x:f>
        <x:v>Фото →</x:v>
      </x:c>
      <x:c r="O52" s="18" t="str">
        <x:f>HYPERLINK("#'Отзывы'!A16","2 отзыва →")</x:f>
        <x:v>2 отзыва →</x:v>
      </x:c>
      <x:c r="P52" s="16" t="str"/>
    </x:row>
    <x:row r="53" ht="70.5" customHeight="1">
      <x:c r="A53" s="29" t="n">
        <x:v>43</x:v>
      </x:c>
      <x:c r="B53" s="33" t="n">
        <x:v>23</x:v>
      </x:c>
      <x:c r="C53" s="7" t="str">
        <x:v>Green Bowl Beach</x:v>
      </x:c>
      <x:c r="D53" s="4" t="str">
        <x:v>Пляжи</x:v>
      </x:c>
      <x:c r="E53" s="4" t="str">
        <x:v>Букит</x:v>
      </x:c>
      <x:c r="F53" s="40" t="n">
        <x:v>4.3</x:v>
      </x:c>
      <x:c r="G53" s="38" t="n">
        <x:v>459</x:v>
      </x:c>
      <x:c r="H53" s="4" t="str">
        <x:v>Маленькая бухта с пещерами в основании утёса.</x:v>
      </x:c>
      <x:c r="I53" s="4" t="str">
        <x:v>Неочевидное</x:v>
      </x:c>
      <x:c r="J53" s="4" t="str">
        <x:v>1,5–3 ч</x:v>
      </x:c>
      <x:c r="K53" s="4" t="str">
        <x:v>Сложно</x:v>
      </x:c>
      <x:c r="L53" s="4" t="str">
        <x:v>Парковка/вход; уточнить</x:v>
      </x:c>
      <x:c r="M53" s="8" t="str">
        <x:f>HYPERLINK("https://www.google.com/maps/search/?api=1&amp;query=-8.848631,115.171054","На карте ↗")</x:f>
        <x:v>На карте ↗</x:v>
      </x:c>
      <x:c r="N53" s="8" t="str">
        <x:f>HYPERLINK("#'Фото'!F105","Фото →")</x:f>
        <x:v>Фото →</x:v>
      </x:c>
      <x:c r="O53" s="8" t="str">
        <x:f>HYPERLINK("#'Отзывы'!A29","2 отзыва →")</x:f>
        <x:v>2 отзыва →</x:v>
      </x:c>
      <x:c r="P53" s="4" t="str"/>
    </x:row>
    <x:row r="54" ht="70.5" customHeight="1">
      <x:c r="A54" s="31" t="n">
        <x:v>44</x:v>
      </x:c>
      <x:c r="B54" s="34" t="n">
        <x:v>14</x:v>
      </x:c>
      <x:c r="C54" s="17" t="str">
        <x:v>Kanto Lampo Waterfall</x:v>
      </x:c>
      <x:c r="D54" s="16" t="str">
        <x:v>Водопады</x:v>
      </x:c>
      <x:c r="E54" s="16" t="str">
        <x:v>Убуд</x:v>
      </x:c>
      <x:c r="F54" s="41" t="n">
        <x:v>4.3</x:v>
      </x:c>
      <x:c r="G54" s="39" t="n">
        <x:v>414</x:v>
      </x:c>
      <x:c r="H54" s="16" t="str">
        <x:v>Каскад воды по ступенчатой скале; популярная фотолокация.</x:v>
      </x:c>
      <x:c r="I54" s="16" t="str">
        <x:v>Известное</x:v>
      </x:c>
      <x:c r="J54" s="16" t="str">
        <x:v>1–2 ч</x:v>
      </x:c>
      <x:c r="K54" s="16" t="str">
        <x:v>Средне</x:v>
      </x:c>
      <x:c r="L54" s="16" t="str">
        <x:v>Вход, шкафчик и фотограф — разные расходы</x:v>
      </x:c>
      <x:c r="M54" s="18" t="str">
        <x:f>HYPERLINK("https://www.google.com/maps/search/?api=1&amp;query=-8.532341,115.332982","На карте ↗")</x:f>
        <x:v>На карте ↗</x:v>
      </x:c>
      <x:c r="N54" s="18" t="str">
        <x:f>HYPERLINK("#'Фото'!F63","Фото →")</x:f>
        <x:v>Фото →</x:v>
      </x:c>
      <x:c r="O54" s="18" t="str">
        <x:f>HYPERLINK("#'Отзывы'!A20","2 отзыва →")</x:f>
        <x:v>2 отзыва →</x:v>
      </x:c>
      <x:c r="P54" s="16" t="str"/>
    </x:row>
    <x:row r="55" ht="70.5" customHeight="1">
      <x:c r="A55" s="29" t="n">
        <x:v>45</x:v>
      </x:c>
      <x:c r="B55" s="33" t="n">
        <x:v>20</x:v>
      </x:c>
      <x:c r="C55" s="7" t="str">
        <x:v>Suluban Beach</x:v>
      </x:c>
      <x:c r="D55" s="4" t="str">
        <x:v>Пляжи</x:v>
      </x:c>
      <x:c r="E55" s="4" t="str">
        <x:v>Букит</x:v>
      </x:c>
      <x:c r="F55" s="40" t="n">
        <x:v>4.4</x:v>
      </x:c>
      <x:c r="G55" s="38" t="n">
        <x:v>391</x:v>
      </x:c>
      <x:c r="H55" s="4" t="str">
        <x:v>Скальный проход и пещерный выход к океану; сильный серфовый характер.</x:v>
      </x:c>
      <x:c r="I55" s="4" t="str">
        <x:v>Известное</x:v>
      </x:c>
      <x:c r="J55" s="4" t="str">
        <x:v>1–2 ч</x:v>
      </x:c>
      <x:c r="K55" s="4" t="str">
        <x:v>Средне</x:v>
      </x:c>
      <x:c r="L55" s="4" t="str">
        <x:v>Парковка; услуги отдельно</x:v>
      </x:c>
      <x:c r="M55" s="8" t="str">
        <x:f>HYPERLINK("https://www.google.com/maps/search/?api=1&amp;query=-8.815548,115.088317","На карте ↗")</x:f>
        <x:v>На карте ↗</x:v>
      </x:c>
      <x:c r="N55" s="8" t="str">
        <x:f>HYPERLINK("#'Фото'!F91","Фото →")</x:f>
        <x:v>Фото →</x:v>
      </x:c>
      <x:c r="O55" s="8" t="str">
        <x:f>HYPERLINK("#'Отзывы'!A26","2 отзыва →")</x:f>
        <x:v>2 отзыва →</x:v>
      </x:c>
      <x:c r="P55" s="4" t="str"/>
    </x:row>
    <x:row r="56" ht="70.5" customHeight="1">
      <x:c r="A56" s="31" t="n">
        <x:v>46</x:v>
      </x:c>
      <x:c r="B56" s="33" t="n">
        <x:v>29</x:v>
      </x:c>
      <x:c r="C56" s="17" t="str">
        <x:v>Atuh Beach</x:v>
      </x:c>
      <x:c r="D56" s="16" t="str">
        <x:v>Пляжи</x:v>
      </x:c>
      <x:c r="E56" s="16" t="str">
        <x:v>Нуса-Пенида</x:v>
      </x:c>
      <x:c r="F56" s="41" t="n">
        <x:v>4.6</x:v>
      </x:c>
      <x:c r="G56" s="39" t="n">
        <x:v>382</x:v>
      </x:c>
      <x:c r="H56" s="16" t="str">
        <x:v>Бухта восточной Пениды с аркой-скалой и варунгами.</x:v>
      </x:c>
      <x:c r="I56" s="16" t="str">
        <x:v>Известное</x:v>
      </x:c>
      <x:c r="J56" s="16" t="str">
        <x:v>2–3 ч</x:v>
      </x:c>
      <x:c r="K56" s="16" t="str">
        <x:v>Средне</x:v>
      </x:c>
      <x:c r="L56" s="16" t="str">
        <x:v>Катер, транспорт, местный вход; лежаки отдельно</x:v>
      </x:c>
      <x:c r="M56" s="18" t="str">
        <x:f>HYPERLINK("https://www.google.com/maps/search/?api=1&amp;query=-8.773327,115.62158","На карте ↗")</x:f>
        <x:v>На карте ↗</x:v>
      </x:c>
      <x:c r="N56" s="18" t="str">
        <x:f>HYPERLINK("#'Фото'!F133","Фото →")</x:f>
        <x:v>Фото →</x:v>
      </x:c>
      <x:c r="O56" s="18" t="str">
        <x:f>HYPERLINK("#'Отзывы'!A35","2 отзыва →")</x:f>
        <x:v>2 отзыва →</x:v>
      </x:c>
      <x:c r="P56" s="16" t="str"/>
    </x:row>
    <x:row r="57" ht="70.5" customHeight="1">
      <x:c r="A57" s="29" t="n">
        <x:v>47</x:v>
      </x:c>
      <x:c r="B57" s="30" t="n">
        <x:v>51</x:v>
      </x:c>
      <x:c r="C57" s="7" t="str">
        <x:v>Batur Natural Hot Spring</x:v>
      </x:c>
      <x:c r="D57" s="4" t="str">
        <x:v>Природа и прогулки</x:v>
      </x:c>
      <x:c r="E57" s="4" t="str">
        <x:v>Кинтамани</x:v>
      </x:c>
      <x:c r="F57" s="40" t="n">
        <x:v>3.4</x:v>
      </x:c>
      <x:c r="G57" s="38" t="n">
        <x:v>377</x:v>
      </x:c>
      <x:c r="H57" s="4" t="str">
        <x:v>Тёплые бассейны у озера после прогулок по Кинтамани.</x:v>
      </x:c>
      <x:c r="I57" s="4" t="str">
        <x:v>Известное</x:v>
      </x:c>
      <x:c r="J57" s="4" t="str">
        <x:v>1,5–2,5 ч</x:v>
      </x:c>
      <x:c r="K57" s="4" t="str">
        <x:v>Легко</x:v>
      </x:c>
      <x:c r="L57" s="4" t="str">
        <x:v>Вход платный; массаж отдельно</x:v>
      </x:c>
      <x:c r="M57" s="8" t="str">
        <x:f>HYPERLINK("https://www.google.com/maps/search/?api=1&amp;query=-8.251375,115.400392","На карте ↗")</x:f>
        <x:v>На карте ↗</x:v>
      </x:c>
      <x:c r="N57" s="8" t="str">
        <x:f>HYPERLINK("#'Фото'!K231","Фото →")</x:f>
        <x:v>Фото →</x:v>
      </x:c>
      <x:c r="O57" s="8" t="str">
        <x:f>HYPERLINK("#'Отзывы'!A57","2 отзыва →")</x:f>
        <x:v>2 отзыва →</x:v>
      </x:c>
      <x:c r="P57" s="4" t="str"/>
    </x:row>
    <x:row r="58" ht="70.5" customHeight="1">
      <x:c r="A58" s="31" t="n">
        <x:v>48</x:v>
      </x:c>
      <x:c r="B58" s="34" t="n">
        <x:v>8</x:v>
      </x:c>
      <x:c r="C58" s="17" t="str">
        <x:v>Aling-Aling Waterfall</x:v>
      </x:c>
      <x:c r="D58" s="16" t="str">
        <x:v>Водопады</x:v>
      </x:c>
      <x:c r="E58" s="16" t="str">
        <x:v>Север</x:v>
      </x:c>
      <x:c r="F58" s="41" t="n">
        <x:v>4.5</x:v>
      </x:c>
      <x:c r="G58" s="39" t="n">
        <x:v>369</x:v>
      </x:c>
      <x:c r="H58" s="16" t="str">
        <x:v>Каскады Самбангана; прогулка и отдельные водные активности.</x:v>
      </x:c>
      <x:c r="I58" s="16" t="str">
        <x:v>Известное</x:v>
      </x:c>
      <x:c r="J58" s="16" t="str">
        <x:v>2–3 ч</x:v>
      </x:c>
      <x:c r="K58" s="16" t="str">
        <x:v>Сложно</x:v>
      </x:c>
      <x:c r="L58" s="16" t="str">
        <x:v>Прогулка и активные пакеты оплачиваются отдельно</x:v>
      </x:c>
      <x:c r="M58" s="18" t="str">
        <x:f>HYPERLINK("https://www.google.com/maps/search/?api=1&amp;query=-8.176792,115.106284","На карте ↗")</x:f>
        <x:v>На карте ↗</x:v>
      </x:c>
      <x:c r="N58" s="18" t="str">
        <x:f>HYPERLINK("#'Фото'!F35","Фото →")</x:f>
        <x:v>Фото →</x:v>
      </x:c>
      <x:c r="O58" s="18" t="str">
        <x:f>HYPERLINK("#'Отзывы'!A14","2 отзыва →")</x:f>
        <x:v>2 отзыва →</x:v>
      </x:c>
      <x:c r="P58" s="16" t="str"/>
    </x:row>
    <x:row r="59" ht="70.5" customHeight="1">
      <x:c r="A59" s="29" t="n">
        <x:v>49</x:v>
      </x:c>
      <x:c r="B59" s="34" t="n">
        <x:v>4</x:v>
      </x:c>
      <x:c r="C59" s="7" t="str">
        <x:v>Tukad Cepung Waterfall</x:v>
      </x:c>
      <x:c r="D59" s="4" t="str">
        <x:v>Водопады</x:v>
      </x:c>
      <x:c r="E59" s="4" t="str">
        <x:v>Бангли</x:v>
      </x:c>
      <x:c r="F59" s="40" t="n">
        <x:v>4.5</x:v>
      </x:c>
      <x:c r="G59" s="38" t="n">
        <x:v>363</x:v>
      </x:c>
      <x:c r="H59" s="4" t="str">
        <x:v>Водопад внутри скального коридора, лучи света в ущелье.</x:v>
      </x:c>
      <x:c r="I59" s="4" t="str">
        <x:v>Известное</x:v>
      </x:c>
      <x:c r="J59" s="4" t="str">
        <x:v>1–1,5 ч</x:v>
      </x:c>
      <x:c r="K59" s="4" t="str">
        <x:v>Сложно</x:v>
      </x:c>
      <x:c r="L59" s="4" t="str">
        <x:v>30 тыс. IDR — отзыв 02.2026</x:v>
      </x:c>
      <x:c r="M59" s="8" t="str">
        <x:f>HYPERLINK("https://www.google.com/maps/search/?api=1&amp;query=-8.442321,115.387903","На карте ↗")</x:f>
        <x:v>На карте ↗</x:v>
      </x:c>
      <x:c r="N59" s="8" t="str">
        <x:f>HYPERLINK("#'Фото'!A21","Фото →")</x:f>
        <x:v>Фото →</x:v>
      </x:c>
      <x:c r="O59" s="8" t="str">
        <x:f>HYPERLINK("#'Отзывы'!A10","2 отзыва →")</x:f>
        <x:v>2 отзыва →</x:v>
      </x:c>
      <x:c r="P59" s="4" t="str"/>
    </x:row>
    <x:row r="60" ht="70.5" customHeight="1">
      <x:c r="A60" s="31" t="n">
        <x:v>50</x:v>
      </x:c>
      <x:c r="B60" s="30" t="n">
        <x:v>59</x:v>
      </x:c>
      <x:c r="C60" s="17" t="str">
        <x:v>Beji Guwang Hidden Canyon</x:v>
      </x:c>
      <x:c r="D60" s="16" t="str">
        <x:v>Природа и прогулки</x:v>
      </x:c>
      <x:c r="E60" s="16" t="str">
        <x:v>Сукавати</x:v>
      </x:c>
      <x:c r="F60" s="41" t="n">
        <x:v>4.7</x:v>
      </x:c>
      <x:c r="G60" s="39" t="n">
        <x:v>355</x:v>
      </x:c>
      <x:c r="H60" s="16" t="str">
        <x:v>Проход по воде через узкий каменный каньон.</x:v>
      </x:c>
      <x:c r="I60" s="16" t="str">
        <x:v>Неочевидное</x:v>
      </x:c>
      <x:c r="J60" s="16" t="str">
        <x:v>2–3 ч</x:v>
      </x:c>
      <x:c r="K60" s="16" t="str">
        <x:v>Сложно</x:v>
      </x:c>
      <x:c r="L60" s="16" t="str">
        <x:v>Организованный проход с гидом; пакет уточнить</x:v>
      </x:c>
      <x:c r="M60" s="18" t="str">
        <x:f>HYPERLINK("https://www.google.com/maps/search/?api=1&amp;query=-8.609902,115.291164","На карте ↗")</x:f>
        <x:v>На карте ↗</x:v>
      </x:c>
      <x:c r="N60" s="18" t="str">
        <x:f>HYPERLINK("#'Фото'!F273","Фото →")</x:f>
        <x:v>Фото →</x:v>
      </x:c>
      <x:c r="O60" s="18" t="str">
        <x:f>HYPERLINK("#'Отзывы'!A65","2 отзыва →")</x:f>
        <x:v>2 отзыва →</x:v>
      </x:c>
      <x:c r="P60" s="16" t="str"/>
    </x:row>
    <x:row r="61" ht="70.5" customHeight="1">
      <x:c r="A61" s="29" t="n">
        <x:v>51</x:v>
      </x:c>
      <x:c r="B61" s="34" t="n">
        <x:v>6</x:v>
      </x:c>
      <x:c r="C61" s="7" t="str">
        <x:v>Nungnung Waterfall</x:v>
      </x:c>
      <x:c r="D61" s="4" t="str">
        <x:v>Водопады</x:v>
      </x:c>
      <x:c r="E61" s="4" t="str">
        <x:v>Центр</x:v>
      </x:c>
      <x:c r="F61" s="40" t="n">
        <x:v>4.6</x:v>
      </x:c>
      <x:c r="G61" s="38" t="n">
        <x:v>354</x:v>
      </x:c>
      <x:c r="H61" s="4" t="str">
        <x:v>Очень мощный водопад в глубоком зелёном ущелье.</x:v>
      </x:c>
      <x:c r="I61" s="4" t="str">
        <x:v>Известное</x:v>
      </x:c>
      <x:c r="J61" s="4" t="str">
        <x:v>1,5–2 ч</x:v>
      </x:c>
      <x:c r="K61" s="4" t="str">
        <x:v>Сложно</x:v>
      </x:c>
      <x:c r="L61" s="4" t="str">
        <x:v>Вход платный; тариф уточнить</x:v>
      </x:c>
      <x:c r="M61" s="8" t="str">
        <x:f>HYPERLINK("https://www.google.com/maps/search/?api=1&amp;query=-8.328673,115.229191","На карте ↗")</x:f>
        <x:v>На карте ↗</x:v>
      </x:c>
      <x:c r="N61" s="8" t="str">
        <x:f>HYPERLINK("#'Фото'!K21","Фото →")</x:f>
        <x:v>Фото →</x:v>
      </x:c>
      <x:c r="O61" s="8" t="str">
        <x:f>HYPERLINK("#'Отзывы'!A12","2 отзыва →")</x:f>
        <x:v>2 отзыва →</x:v>
      </x:c>
      <x:c r="P61" s="4" t="str"/>
    </x:row>
    <x:row r="62" ht="70.5" customHeight="1">
      <x:c r="A62" s="31" t="n">
        <x:v>52</x:v>
      </x:c>
      <x:c r="B62" s="35" t="n">
        <x:v>62</x:v>
      </x:c>
      <x:c r="C62" s="17" t="str">
        <x:v>Nasi Ayam Kedewatan Ibu Mangku</x:v>
      </x:c>
      <x:c r="D62" s="16" t="str">
        <x:v>Где поесть</x:v>
      </x:c>
      <x:c r="E62" s="16" t="str">
        <x:v>Убуд</x:v>
      </x:c>
      <x:c r="F62" s="41" t="n">
        <x:v>4.1</x:v>
      </x:c>
      <x:c r="G62" s="39" t="n">
        <x:v>349</x:v>
      </x:c>
      <x:c r="H62" s="16" t="str">
        <x:v>Nasi ayam / nasi campur с курицей, специями и балийским двориком.</x:v>
      </x:c>
      <x:c r="I62" s="16" t="str">
        <x:v>Неочевидное</x:v>
      </x:c>
      <x:c r="J62" s="16" t="str">
        <x:v>45–75 мин</x:v>
      </x:c>
      <x:c r="K62" s="16" t="str">
        <x:v>Легко</x:v>
      </x:c>
      <x:c r="L62" s="16" t="str">
        <x:v>$; текущий чек уточнить</x:v>
      </x:c>
      <x:c r="M62" s="18" t="str">
        <x:f>HYPERLINK("https://www.google.com/maps/search/?api=1&amp;query=-8.482649,115.24645","На карте ↗")</x:f>
        <x:v>На карте ↗</x:v>
      </x:c>
      <x:c r="N62" s="18" t="str">
        <x:f>HYPERLINK("#'Фото'!F287","Фото →")</x:f>
        <x:v>Фото →</x:v>
      </x:c>
      <x:c r="O62" s="18" t="str">
        <x:f>HYPERLINK("#'Отзывы'!A68","2 отзыва →")</x:f>
        <x:v>2 отзыва →</x:v>
      </x:c>
      <x:c r="P62" s="16" t="str"/>
    </x:row>
    <x:row r="63" ht="70.5" customHeight="1">
      <x:c r="A63" s="29" t="n">
        <x:v>53</x:v>
      </x:c>
      <x:c r="B63" s="33" t="n">
        <x:v>24</x:v>
      </x:c>
      <x:c r="C63" s="7" t="str">
        <x:v>Virgin Beach</x:v>
      </x:c>
      <x:c r="D63" s="4" t="str">
        <x:v>Пляжи</x:v>
      </x:c>
      <x:c r="E63" s="4" t="str">
        <x:v>Карангасем</x:v>
      </x:c>
      <x:c r="F63" s="40" t="n">
        <x:v>4.3</x:v>
      </x:c>
      <x:c r="G63" s="38" t="n">
        <x:v>338</x:v>
      </x:c>
      <x:c r="H63" s="4" t="str">
        <x:v>Светлый песок на востоке Бали, варунги и морской пейзаж.</x:v>
      </x:c>
      <x:c r="I63" s="4" t="str">
        <x:v>Известное</x:v>
      </x:c>
      <x:c r="J63" s="4" t="str">
        <x:v>2–4 ч</x:v>
      </x:c>
      <x:c r="K63" s="4" t="str">
        <x:v>Легко</x:v>
      </x:c>
      <x:c r="L63" s="4" t="str">
        <x:v>Вход/парковка; лежаки отдельно</x:v>
      </x:c>
      <x:c r="M63" s="8" t="str">
        <x:f>HYPERLINK("https://www.google.com/maps/search/?api=1&amp;query=-8.501965,115.609748","На карте ↗")</x:f>
        <x:v>На карте ↗</x:v>
      </x:c>
      <x:c r="N63" s="8" t="str">
        <x:f>HYPERLINK("#'Фото'!K105","Фото →")</x:f>
        <x:v>Фото →</x:v>
      </x:c>
      <x:c r="O63" s="8" t="str">
        <x:f>HYPERLINK("#'Отзывы'!A30","2 отзыва →")</x:f>
        <x:v>2 отзыва →</x:v>
      </x:c>
      <x:c r="P63" s="4" t="str"/>
    </x:row>
    <x:row r="64" ht="70.5" customHeight="1">
      <x:c r="A64" s="31" t="n">
        <x:v>54</x:v>
      </x:c>
      <x:c r="B64" s="34" t="n">
        <x:v>5</x:v>
      </x:c>
      <x:c r="C64" s="17" t="str">
        <x:v>Banyumala Twin Waterfalls</x:v>
      </x:c>
      <x:c r="D64" s="16" t="str">
        <x:v>Водопады</x:v>
      </x:c>
      <x:c r="E64" s="16" t="str">
        <x:v>Мундук</x:v>
      </x:c>
      <x:c r="F64" s="41" t="n">
        <x:v>4.7</x:v>
      </x:c>
      <x:c r="G64" s="39" t="n">
        <x:v>284</x:v>
      </x:c>
      <x:c r="H64" s="16" t="str">
        <x:v>Широкая стена струй, папоротники и природный бассейн.</x:v>
      </x:c>
      <x:c r="I64" s="16" t="str">
        <x:v>Известное</x:v>
      </x:c>
      <x:c r="J64" s="16" t="str">
        <x:v>1,5–2 ч</x:v>
      </x:c>
      <x:c r="K64" s="16" t="str">
        <x:v>Средне</x:v>
      </x:c>
      <x:c r="L64" s="16" t="str">
        <x:v>Вход платный; тариф уточнить</x:v>
      </x:c>
      <x:c r="M64" s="18" t="str">
        <x:f>HYPERLINK("https://www.google.com/maps/search/?api=1&amp;query=-8.217297,115.101661","На карте ↗")</x:f>
        <x:v>На карте ↗</x:v>
      </x:c>
      <x:c r="N64" s="18" t="str">
        <x:f>HYPERLINK("#'Фото'!F21","Фото →")</x:f>
        <x:v>Фото →</x:v>
      </x:c>
      <x:c r="O64" s="18" t="str">
        <x:f>HYPERLINK("#'Отзывы'!A11","2 отзыва →")</x:f>
        <x:v>2 отзыва →</x:v>
      </x:c>
      <x:c r="P64" s="16" t="str"/>
    </x:row>
    <x:row r="65" ht="70.5" customHeight="1">
      <x:c r="A65" s="29" t="n">
        <x:v>55</x:v>
      </x:c>
      <x:c r="B65" s="33" t="n">
        <x:v>21</x:v>
      </x:c>
      <x:c r="C65" s="7" t="str">
        <x:v>Nyang Nyang Beach</x:v>
      </x:c>
      <x:c r="D65" s="4" t="str">
        <x:v>Пляжи</x:v>
      </x:c>
      <x:c r="E65" s="4" t="str">
        <x:v>Букит</x:v>
      </x:c>
      <x:c r="F65" s="40" t="n">
        <x:v>4.3</x:v>
      </x:c>
      <x:c r="G65" s="38" t="n">
        <x:v>245</x:v>
      </x:c>
      <x:c r="H65" s="4" t="str">
        <x:v>Протяжённый пляж под высоким обрывом; больше пространства.</x:v>
      </x:c>
      <x:c r="I65" s="4" t="str">
        <x:v>Неочевидное</x:v>
      </x:c>
      <x:c r="J65" s="4" t="str">
        <x:v>2–3 ч</x:v>
      </x:c>
      <x:c r="K65" s="4" t="str">
        <x:v>Сложно</x:v>
      </x:c>
      <x:c r="L65" s="4" t="str">
        <x:v>Парковка/подвоз; цену согласовать</x:v>
      </x:c>
      <x:c r="M65" s="8" t="str">
        <x:f>HYPERLINK("https://www.google.com/maps/search/?api=1&amp;query=-8.839751,115.094327","На карте ↗")</x:f>
        <x:v>На карте ↗</x:v>
      </x:c>
      <x:c r="N65" s="8" t="str">
        <x:f>HYPERLINK("#'Фото'!K91","Фото →")</x:f>
        <x:v>Фото →</x:v>
      </x:c>
      <x:c r="O65" s="8" t="str">
        <x:f>HYPERLINK("#'Отзывы'!A27","2 отзыва →")</x:f>
        <x:v>2 отзыва →</x:v>
      </x:c>
      <x:c r="P65" s="4" t="str"/>
    </x:row>
    <x:row r="66" ht="70.5" customHeight="1">
      <x:c r="A66" s="31" t="n">
        <x:v>56</x:v>
      </x:c>
      <x:c r="B66" s="35" t="n">
        <x:v>73</x:v>
      </x:c>
      <x:c r="C66" s="17" t="str">
        <x:v>Pison Ubud</x:v>
      </x:c>
      <x:c r="D66" s="16" t="str">
        <x:v>Где поесть</x:v>
      </x:c>
      <x:c r="E66" s="16" t="str">
        <x:v>Убуд</x:v>
      </x:c>
      <x:c r="F66" s="41" t="n">
        <x:v>4</x:v>
      </x:c>
      <x:c r="G66" s="39" t="n">
        <x:v>242</x:v>
      </x:c>
      <x:c r="H66" s="16" t="str">
        <x:v>Кофе и сытный завтрак около Monkey Forest.</x:v>
      </x:c>
      <x:c r="I66" s="16" t="str">
        <x:v>Известное</x:v>
      </x:c>
      <x:c r="J66" s="16" t="str">
        <x:v>1–1,5 ч</x:v>
      </x:c>
      <x:c r="K66" s="16" t="str">
        <x:v>Легко</x:v>
      </x:c>
      <x:c r="L66" s="16" t="str">
        <x:v>$ по Tripadvisor; цены меню проверить</x:v>
      </x:c>
      <x:c r="M66" s="18" t="str">
        <x:f>HYPERLINK("https://www.google.com/maps/search/?api=1&amp;query=-8.518294,115.263556","На карте ↗")</x:f>
        <x:v>На карте ↗</x:v>
      </x:c>
      <x:c r="N66" s="18" t="str">
        <x:f>HYPERLINK("#'Фото'!A343","Фото →")</x:f>
        <x:v>Фото →</x:v>
      </x:c>
      <x:c r="O66" s="18" t="str">
        <x:f>HYPERLINK("#'Отзывы'!A79","2 отзыва →")</x:f>
        <x:v>2 отзыва →</x:v>
      </x:c>
      <x:c r="P66" s="16" t="str"/>
    </x:row>
    <x:row r="67" ht="70.5" customHeight="1">
      <x:c r="A67" s="29" t="n">
        <x:v>57</x:v>
      </x:c>
      <x:c r="B67" s="30" t="n">
        <x:v>52</x:v>
      </x:c>
      <x:c r="C67" s="7" t="str">
        <x:v>Tamblingan Lake</x:v>
      </x:c>
      <x:c r="D67" s="4" t="str">
        <x:v>Природа и прогулки</x:v>
      </x:c>
      <x:c r="E67" s="4" t="str">
        <x:v>Мундук</x:v>
      </x:c>
      <x:c r="F67" s="40" t="n">
        <x:v>4.4</x:v>
      </x:c>
      <x:c r="G67" s="38" t="n">
        <x:v>235</x:v>
      </x:c>
      <x:c r="H67" s="4" t="str">
        <x:v>Горное озеро, туман и лес; вариант для спокойного северного дня.</x:v>
      </x:c>
      <x:c r="I67" s="4" t="str">
        <x:v>Неочевидное</x:v>
      </x:c>
      <x:c r="J67" s="4" t="str">
        <x:v>1–3 ч</x:v>
      </x:c>
      <x:c r="K67" s="4" t="str">
        <x:v>Средне</x:v>
      </x:c>
      <x:c r="L67" s="4" t="str">
        <x:v>Берег/парковка; лодка и гид отдельно</x:v>
      </x:c>
      <x:c r="M67" s="8" t="str">
        <x:f>HYPERLINK("https://www.google.com/maps/search/?api=1&amp;query=Tamblingan%20Lake%20Bali","На карте ↗")</x:f>
        <x:v>На карте ↗</x:v>
      </x:c>
      <x:c r="N67" s="8" t="str">
        <x:f>HYPERLINK("#'Фото'!A245","Фото →")</x:f>
        <x:v>Фото →</x:v>
      </x:c>
      <x:c r="O67" s="8" t="str">
        <x:f>HYPERLINK("#'Отзывы'!A58","2 отзыва →")</x:f>
        <x:v>2 отзыва →</x:v>
      </x:c>
      <x:c r="P67" s="4" t="str"/>
    </x:row>
    <x:row r="68" ht="70.5" customHeight="1">
      <x:c r="A68" s="31" t="n">
        <x:v>58</x:v>
      </x:c>
      <x:c r="B68" s="34" t="n">
        <x:v>3</x:v>
      </x:c>
      <x:c r="C68" s="17" t="str">
        <x:v>Tibumana Waterfall</x:v>
      </x:c>
      <x:c r="D68" s="16" t="str">
        <x:v>Водопады</x:v>
      </x:c>
      <x:c r="E68" s="16" t="str">
        <x:v>Убуд</x:v>
      </x:c>
      <x:c r="F68" s="41" t="n">
        <x:v>4.4</x:v>
      </x:c>
      <x:c r="G68" s="39" t="n">
        <x:v>230</x:v>
      </x:c>
      <x:c r="H68" s="16" t="str">
        <x:v>Ровный поток в зелёной чаше; приятный вариант для первого водопада.</x:v>
      </x:c>
      <x:c r="I68" s="16" t="str">
        <x:v>Известное</x:v>
      </x:c>
      <x:c r="J68" s="16" t="str">
        <x:v>1–1,5 ч</x:v>
      </x:c>
      <x:c r="K68" s="16" t="str">
        <x:v>Средне</x:v>
      </x:c>
      <x:c r="L68" s="16" t="str">
        <x:v>25 тыс. IDR — отзыв 01.2026</x:v>
      </x:c>
      <x:c r="M68" s="18" t="str">
        <x:f>HYPERLINK("https://www.google.com/maps/search/?api=1&amp;query=-8.506801,115.333065","На карте ↗")</x:f>
        <x:v>На карте ↗</x:v>
      </x:c>
      <x:c r="N68" s="18" t="str">
        <x:f>HYPERLINK("#'Фото'!K7","Фото →")</x:f>
        <x:v>Фото →</x:v>
      </x:c>
      <x:c r="O68" s="18" t="str">
        <x:f>HYPERLINK("#'Отзывы'!A9","2 отзыва →")</x:f>
        <x:v>2 отзыва →</x:v>
      </x:c>
      <x:c r="P68" s="16" t="str"/>
    </x:row>
    <x:row r="69" ht="70.5" customHeight="1">
      <x:c r="A69" s="29" t="n">
        <x:v>59</x:v>
      </x:c>
      <x:c r="B69" s="33" t="n">
        <x:v>28</x:v>
      </x:c>
      <x:c r="C69" s="7" t="str">
        <x:v>Diamond Beach</x:v>
      </x:c>
      <x:c r="D69" s="4" t="str">
        <x:v>Пляжи</x:v>
      </x:c>
      <x:c r="E69" s="4" t="str">
        <x:v>Нуса-Пенида</x:v>
      </x:c>
      <x:c r="F69" s="40" t="n">
        <x:v>4.5</x:v>
      </x:c>
      <x:c r="G69" s="38" t="n">
        <x:v>189</x:v>
      </x:c>
      <x:c r="H69" s="4" t="str">
        <x:v>Светлый пляж и острые скалы в бирюзовом море.</x:v>
      </x:c>
      <x:c r="I69" s="4" t="str">
        <x:v>Известное</x:v>
      </x:c>
      <x:c r="J69" s="4" t="str">
        <x:v>1–2 ч</x:v>
      </x:c>
      <x:c r="K69" s="4" t="str">
        <x:v>Сложно</x:v>
      </x:c>
      <x:c r="L69" s="4" t="str">
        <x:v>Катер на Пениду + транспорт + вход</x:v>
      </x:c>
      <x:c r="M69" s="8" t="str">
        <x:f>HYPERLINK("https://www.google.com/maps/search/?api=1&amp;query=-8.776136,115.618636","На карте ↗")</x:f>
        <x:v>На карте ↗</x:v>
      </x:c>
      <x:c r="N69" s="8" t="str">
        <x:f>HYPERLINK("#'Фото'!A133","Фото →")</x:f>
        <x:v>Фото →</x:v>
      </x:c>
      <x:c r="O69" s="8" t="str">
        <x:f>HYPERLINK("#'Отзывы'!A34","2 отзыва →")</x:f>
        <x:v>2 отзыва →</x:v>
      </x:c>
      <x:c r="P69" s="4" t="str"/>
    </x:row>
    <x:row r="70" ht="70.5" customHeight="1">
      <x:c r="A70" s="31" t="n">
        <x:v>60</x:v>
      </x:c>
      <x:c r="B70" s="35" t="n">
        <x:v>68</x:v>
      </x:c>
      <x:c r="C70" s="17" t="str">
        <x:v>Warung Mami Ikan Bakar</x:v>
      </x:c>
      <x:c r="D70" s="16" t="str">
        <x:v>Где поесть</x:v>
      </x:c>
      <x:c r="E70" s="16" t="str">
        <x:v>Джимбаран</x:v>
      </x:c>
      <x:c r="F70" s="41" t="n">
        <x:v>4.5</x:v>
      </x:c>
      <x:c r="G70" s="39" t="n">
        <x:v>176</x:v>
      </x:c>
      <x:c r="H70" s="16" t="str">
        <x:v>Рыба, креветки и моллюски на гриле в простом варунге Джимбарана.</x:v>
      </x:c>
      <x:c r="I70" s="16" t="str">
        <x:v>Неочевидное</x:v>
      </x:c>
      <x:c r="J70" s="16" t="str">
        <x:v>1–1,5 ч</x:v>
      </x:c>
      <x:c r="K70" s="16" t="str">
        <x:v>Легко</x:v>
      </x:c>
      <x:c r="L70" s="16" t="str">
        <x:v>$; заказ по весу/набору уточнить</x:v>
      </x:c>
      <x:c r="M70" s="18" t="str">
        <x:f>HYPERLINK("https://www.google.com/maps/search/?api=1&amp;query=Warung%20Mami%20Ikan%20Bakar%20Bali","На карте ↗")</x:f>
        <x:v>На карте ↗</x:v>
      </x:c>
      <x:c r="N70" s="18" t="str">
        <x:f>HYPERLINK("#'Фото'!F315","Фото →")</x:f>
        <x:v>Фото →</x:v>
      </x:c>
      <x:c r="O70" s="18" t="str">
        <x:f>HYPERLINK("#'Отзывы'!A74","2 отзыва →")</x:f>
        <x:v>2 отзыва →</x:v>
      </x:c>
      <x:c r="P70" s="16" t="str"/>
    </x:row>
    <x:row r="71" ht="70.5" customHeight="1">
      <x:c r="A71" s="29" t="n">
        <x:v>61</x:v>
      </x:c>
      <x:c r="B71" s="33" t="n">
        <x:v>22</x:v>
      </x:c>
      <x:c r="C71" s="7" t="str">
        <x:v>Gunung Payung Beach</x:v>
      </x:c>
      <x:c r="D71" s="4" t="str">
        <x:v>Пляжи</x:v>
      </x:c>
      <x:c r="E71" s="4" t="str">
        <x:v>Букит</x:v>
      </x:c>
      <x:c r="F71" s="40" t="n">
        <x:v>4.6</x:v>
      </x:c>
      <x:c r="G71" s="38" t="n">
        <x:v>135</x:v>
      </x:c>
      <x:c r="H71" s="4" t="str">
        <x:v>Светлый песок, скалы и пещера; спокойнее знаменитых соседей.</x:v>
      </x:c>
      <x:c r="I71" s="4" t="str">
        <x:v>Неочевидное</x:v>
      </x:c>
      <x:c r="J71" s="4" t="str">
        <x:v>2–3 ч</x:v>
      </x:c>
      <x:c r="K71" s="4" t="str">
        <x:v>Средне</x:v>
      </x:c>
      <x:c r="L71" s="4" t="str">
        <x:v>Вход; шаттл отдельно, тариф уточнить</x:v>
      </x:c>
      <x:c r="M71" s="8" t="str">
        <x:f>HYPERLINK("https://www.google.com/maps/search/?api=1&amp;query=-8.841125,115.198822","На карте ↗")</x:f>
        <x:v>На карте ↗</x:v>
      </x:c>
      <x:c r="N71" s="8" t="str">
        <x:f>HYPERLINK("#'Фото'!A105","Фото →")</x:f>
        <x:v>Фото →</x:v>
      </x:c>
      <x:c r="O71" s="8" t="str">
        <x:f>HYPERLINK("#'Отзывы'!A28","2 отзыва →")</x:f>
        <x:v>2 отзыва →</x:v>
      </x:c>
      <x:c r="P71" s="4" t="str"/>
    </x:row>
    <x:row r="72" ht="70.5" customHeight="1">
      <x:c r="A72" s="31" t="n">
        <x:v>62</x:v>
      </x:c>
      <x:c r="B72" s="35" t="n">
        <x:v>66</x:v>
      </x:c>
      <x:c r="C72" s="17" t="str">
        <x:v>Nasi Ayam Men Weti</x:v>
      </x:c>
      <x:c r="D72" s="16" t="str">
        <x:v>Где поесть</x:v>
      </x:c>
      <x:c r="E72" s="16" t="str">
        <x:v>Санур</x:v>
      </x:c>
      <x:c r="F72" s="41" t="n">
        <x:v>4.3</x:v>
      </x:c>
      <x:c r="G72" s="39" t="n">
        <x:v>133</x:v>
      </x:c>
      <x:c r="H72" s="16" t="str">
        <x:v>Утренний nasi campur у пляжа Санура: курица, овощи и хрустящая кожа.</x:v>
      </x:c>
      <x:c r="I72" s="16" t="str">
        <x:v>Неочевидное</x:v>
      </x:c>
      <x:c r="J72" s="16" t="str">
        <x:v>30–60 мин</x:v>
      </x:c>
      <x:c r="K72" s="16" t="str">
        <x:v>Легко</x:v>
      </x:c>
      <x:c r="L72" s="16" t="str">
        <x:v>$; текущий чек уточнить</x:v>
      </x:c>
      <x:c r="M72" s="18" t="str">
        <x:f>HYPERLINK("https://www.google.com/maps/search/?api=1&amp;query=Nasi%20Ayam%20Men%20Weti%20Bali","На карте ↗")</x:f>
        <x:v>На карте ↗</x:v>
      </x:c>
      <x:c r="N72" s="18" t="str">
        <x:f>HYPERLINK("#'Фото'!K301","Фото →")</x:f>
        <x:v>Фото →</x:v>
      </x:c>
      <x:c r="O72" s="18" t="str">
        <x:f>HYPERLINK("#'Отзывы'!A72","2 отзыва →")</x:f>
        <x:v>2 отзыва →</x:v>
      </x:c>
      <x:c r="P72" s="16" t="str"/>
    </x:row>
    <x:row r="73" ht="70.5" customHeight="1">
      <x:c r="A73" s="29" t="n">
        <x:v>63</x:v>
      </x:c>
      <x:c r="B73" s="34" t="n">
        <x:v>7</x:v>
      </x:c>
      <x:c r="C73" s="7" t="str">
        <x:v>Leke Leke Waterfall</x:v>
      </x:c>
      <x:c r="D73" s="4" t="str">
        <x:v>Водопады</x:v>
      </x:c>
      <x:c r="E73" s="4" t="str">
        <x:v>Бедугул</x:v>
      </x:c>
      <x:c r="F73" s="40" t="n">
        <x:v>4.4</x:v>
      </x:c>
      <x:c r="G73" s="38" t="n">
        <x:v>80</x:v>
      </x:c>
      <x:c r="H73" s="4" t="str">
        <x:v>Тонкая белая струя между тёмными стенами и густой зеленью.</x:v>
      </x:c>
      <x:c r="I73" s="4" t="str">
        <x:v>Известное</x:v>
      </x:c>
      <x:c r="J73" s="4" t="str">
        <x:v>1–1,5 ч</x:v>
      </x:c>
      <x:c r="K73" s="4" t="str">
        <x:v>Средне</x:v>
      </x:c>
      <x:c r="L73" s="4" t="str">
        <x:v>Вход платный; тариф уточнить</x:v>
      </x:c>
      <x:c r="M73" s="8" t="str">
        <x:f>HYPERLINK("https://www.google.com/maps/search/?api=1&amp;query=-8.365087,115.199937","На карте ↗")</x:f>
        <x:v>На карте ↗</x:v>
      </x:c>
      <x:c r="N73" s="8" t="str">
        <x:f>HYPERLINK("#'Фото'!A35","Фото →")</x:f>
        <x:v>Фото →</x:v>
      </x:c>
      <x:c r="O73" s="8" t="str">
        <x:f>HYPERLINK("#'Отзывы'!A13","2 отзыва →")</x:f>
        <x:v>2 отзыва →</x:v>
      </x:c>
      <x:c r="P73" s="4" t="str"/>
    </x:row>
    <x:row r="74" ht="70.5" customHeight="1">
      <x:c r="A74" s="31" t="n">
        <x:v>64</x:v>
      </x:c>
      <x:c r="B74" s="30" t="n">
        <x:v>55</x:v>
      </x:c>
      <x:c r="C74" s="17" t="str">
        <x:v>Bunut Bolong</x:v>
      </x:c>
      <x:c r="D74" s="16" t="str">
        <x:v>Природа и прогулки</x:v>
      </x:c>
      <x:c r="E74" s="16" t="str">
        <x:v>Запад</x:v>
      </x:c>
      <x:c r="F74" s="41" t="n">
        <x:v>4.2</x:v>
      </x:c>
      <x:c r="G74" s="39" t="n">
        <x:v>77</x:v>
      </x:c>
      <x:c r="H74" s="16" t="str">
        <x:v>Большое дерево с проездом через ствол; короткая остановка на западе.</x:v>
      </x:c>
      <x:c r="I74" s="16" t="str">
        <x:v>Неочевидное</x:v>
      </x:c>
      <x:c r="J74" s="16" t="str">
        <x:v>20–40 мин</x:v>
      </x:c>
      <x:c r="K74" s="16" t="str">
        <x:v>Легко</x:v>
      </x:c>
      <x:c r="L74" s="16" t="str">
        <x:v>Сбор/парковка уточнить</x:v>
      </x:c>
      <x:c r="M74" s="18" t="str">
        <x:f>HYPERLINK("https://www.google.com/maps/search/?api=1&amp;query=-8.386774,114.873534","На карте ↗")</x:f>
        <x:v>На карте ↗</x:v>
      </x:c>
      <x:c r="N74" s="18" t="str">
        <x:f>HYPERLINK("#'Фото'!A259","Фото →")</x:f>
        <x:v>Фото →</x:v>
      </x:c>
      <x:c r="O74" s="18" t="str">
        <x:f>HYPERLINK("#'Отзывы'!A61","2 отзыва →")</x:f>
        <x:v>2 отзыва →</x:v>
      </x:c>
      <x:c r="P74" s="16" t="str"/>
    </x:row>
    <x:row r="75" ht="70.5" customHeight="1">
      <x:c r="A75" s="29" t="n">
        <x:v>65</x:v>
      </x:c>
      <x:c r="B75" s="35" t="n">
        <x:v>71</x:v>
      </x:c>
      <x:c r="C75" s="7" t="str">
        <x:v>Sate Babi Bawah Pohon</x:v>
      </x:c>
      <x:c r="D75" s="4" t="str">
        <x:v>Где поесть</x:v>
      </x:c>
      <x:c r="E75" s="4" t="str">
        <x:v>Легиан</x:v>
      </x:c>
      <x:c r="F75" s="40" t="n">
        <x:v>4.3</x:v>
      </x:c>
      <x:c r="G75" s="38" t="n">
        <x:v>75</x:v>
      </x:c>
      <x:c r="H75" s="4" t="str">
        <x:v>Свиные шашлычки sate babi, рис и lontong.</x:v>
      </x:c>
      <x:c r="I75" s="4" t="str">
        <x:v>Неочевидное</x:v>
      </x:c>
      <x:c r="J75" s="4" t="str">
        <x:v>45–75 мин</x:v>
      </x:c>
      <x:c r="K75" s="4" t="str">
        <x:v>Легко</x:v>
      </x:c>
      <x:c r="L75" s="4" t="str">
        <x:v>$; текущий чек уточнить</x:v>
      </x:c>
      <x:c r="M75" s="8" t="str">
        <x:f>HYPERLINK("https://www.google.com/maps/search/?api=1&amp;query=-8.701834,115.175174","На карте ↗")</x:f>
        <x:v>На карте ↗</x:v>
      </x:c>
      <x:c r="N75" s="8" t="str">
        <x:f>HYPERLINK("#'Фото'!F329","Фото →")</x:f>
        <x:v>Фото →</x:v>
      </x:c>
      <x:c r="O75" s="8" t="str">
        <x:f>HYPERLINK("#'Отзывы'!A77","2 отзыва →")</x:f>
        <x:v>2 отзыва →</x:v>
      </x:c>
      <x:c r="P75" s="4" t="str"/>
    </x:row>
    <x:row r="76" ht="70.5" customHeight="1">
      <x:c r="A76" s="31" t="n">
        <x:v>66</x:v>
      </x:c>
      <x:c r="B76" s="34" t="n">
        <x:v>11</x:v>
      </x:c>
      <x:c r="C76" s="17" t="str">
        <x:v>Banyu Wana Amertha Waterfall</x:v>
      </x:c>
      <x:c r="D76" s="16" t="str">
        <x:v>Водопады</x:v>
      </x:c>
      <x:c r="E76" s="16" t="str">
        <x:v>Мундук</x:v>
      </x:c>
      <x:c r="F76" s="41" t="n">
        <x:v>4.8</x:v>
      </x:c>
      <x:c r="G76" s="39" t="n">
        <x:v>35</x:v>
      </x:c>
      <x:c r="H76" s="16" t="str">
        <x:v>Несколько водопадов за один лесной маршрут; хороший небанальный выбор.</x:v>
      </x:c>
      <x:c r="I76" s="16" t="str">
        <x:v>Неочевидное</x:v>
      </x:c>
      <x:c r="J76" s="16" t="str">
        <x:v>1,5–2,5 ч</x:v>
      </x:c>
      <x:c r="K76" s="16" t="str">
        <x:v>Средне</x:v>
      </x:c>
      <x:c r="L76" s="16" t="str">
        <x:v>Вход платный; тариф уточнить</x:v>
      </x:c>
      <x:c r="M76" s="18" t="str">
        <x:f>HYPERLINK("https://www.google.com/maps/search/?api=1&amp;query=-8.208485,115.118243","На карте ↗")</x:f>
        <x:v>На карте ↗</x:v>
      </x:c>
      <x:c r="N76" s="18" t="str">
        <x:f>HYPERLINK("#'Фото'!F49","Фото →")</x:f>
        <x:v>Фото →</x:v>
      </x:c>
      <x:c r="O76" s="18" t="str">
        <x:f>HYPERLINK("#'Отзывы'!A17","2 отзыва →")</x:f>
        <x:v>2 отзыва →</x:v>
      </x:c>
      <x:c r="P76" s="16" t="str"/>
    </x:row>
    <x:row r="77" ht="70.5" customHeight="1">
      <x:c r="A77" s="29" t="n">
        <x:v>67</x:v>
      </x:c>
      <x:c r="B77" s="30" t="n">
        <x:v>48</x:v>
      </x:c>
      <x:c r="C77" s="7" t="str">
        <x:v>Lahangan Sweet</x:v>
      </x:c>
      <x:c r="D77" s="4" t="str">
        <x:v>Природа и прогулки</x:v>
      </x:c>
      <x:c r="E77" s="4" t="str">
        <x:v>Амед</x:v>
      </x:c>
      <x:c r="F77" s="40" t="n">
        <x:v>4.6</x:v>
      </x:c>
      <x:c r="G77" s="38" t="n">
        <x:v>35</x:v>
      </x:c>
      <x:c r="H77" s="4" t="str">
        <x:v>Смотровая с платформами и панорамой Агунга.</x:v>
      </x:c>
      <x:c r="I77" s="4" t="str">
        <x:v>Неочевидное</x:v>
      </x:c>
      <x:c r="J77" s="4" t="str">
        <x:v>1–2 ч</x:v>
      </x:c>
      <x:c r="K77" s="4" t="str">
        <x:v>Средне</x:v>
      </x:c>
      <x:c r="L77" s="4" t="str">
        <x:v>Вход и джип-подвоз; пакет уточнить</x:v>
      </x:c>
      <x:c r="M77" s="8" t="str">
        <x:f>HYPERLINK("https://www.google.com/maps/search/?api=1&amp;query=-8.371949,115.637077","На карте ↗")</x:f>
        <x:v>На карте ↗</x:v>
      </x:c>
      <x:c r="N77" s="8" t="str">
        <x:f>HYPERLINK("#'Фото'!K217","Фото →")</x:f>
        <x:v>Фото →</x:v>
      </x:c>
      <x:c r="O77" s="8" t="str">
        <x:f>HYPERLINK("#'Отзывы'!A54","2 отзыва →")</x:f>
        <x:v>2 отзыва →</x:v>
      </x:c>
      <x:c r="P77" s="4" t="str"/>
    </x:row>
    <x:row r="78" ht="70.5" customHeight="1">
      <x:c r="A78" s="31" t="n">
        <x:v>68</x:v>
      </x:c>
      <x:c r="B78" s="35" t="n">
        <x:v>72</x:v>
      </x:c>
      <x:c r="C78" s="17" t="str">
        <x:v>BAKED. Berawa</x:v>
      </x:c>
      <x:c r="D78" s="16" t="str">
        <x:v>Где поесть</x:v>
      </x:c>
      <x:c r="E78" s="16" t="str">
        <x:v>Чангу</x:v>
      </x:c>
      <x:c r="F78" s="41" t="n">
        <x:v>3.8</x:v>
      </x:c>
      <x:c r="G78" s="39" t="n">
        <x:v>35</x:v>
      </x:c>
      <x:c r="H78" s="16" t="str">
        <x:v>Кофе, круассаны, выпечка и поздний завтрак в Бераве.</x:v>
      </x:c>
      <x:c r="I78" s="16" t="str">
        <x:v>Известное</x:v>
      </x:c>
      <x:c r="J78" s="16" t="str">
        <x:v>45–90 мин</x:v>
      </x:c>
      <x:c r="K78" s="16" t="str">
        <x:v>Легко</x:v>
      </x:c>
      <x:c r="L78" s="16" t="str">
        <x:v>$ по Tripadvisor; цены меню проверить</x:v>
      </x:c>
      <x:c r="M78" s="18" t="str">
        <x:f>HYPERLINK("https://www.google.com/maps/search/?api=1&amp;query=-8.658309,115.140314","На карте ↗")</x:f>
        <x:v>На карте ↗</x:v>
      </x:c>
      <x:c r="N78" s="18" t="str">
        <x:f>HYPERLINK("#'Фото'!K329","Фото →")</x:f>
        <x:v>Фото →</x:v>
      </x:c>
      <x:c r="O78" s="18" t="str">
        <x:f>HYPERLINK("#'Отзывы'!A78","2 отзыва →")</x:f>
        <x:v>2 отзыва →</x:v>
      </x:c>
      <x:c r="P78" s="16" t="str"/>
    </x:row>
    <x:row r="79" ht="70.5" customHeight="1">
      <x:c r="A79" s="29" t="n">
        <x:v>69</x:v>
      </x:c>
      <x:c r="B79" s="34" t="n">
        <x:v>12</x:v>
      </x:c>
      <x:c r="C79" s="7" t="str">
        <x:v>Gembleng Waterfall</x:v>
      </x:c>
      <x:c r="D79" s="4" t="str">
        <x:v>Водопады</x:v>
      </x:c>
      <x:c r="E79" s="4" t="str">
        <x:v>Сидемен</x:v>
      </x:c>
      <x:c r="F79" s="40" t="n">
        <x:v>4.6</x:v>
      </x:c>
      <x:c r="G79" s="38" t="n">
        <x:v>23</x:v>
      </x:c>
      <x:c r="H79" s="4" t="str">
        <x:v>Небольшие природные чаши с видом на джунгли Сидемена.</x:v>
      </x:c>
      <x:c r="I79" s="4" t="str">
        <x:v>Неочевидное</x:v>
      </x:c>
      <x:c r="J79" s="4" t="str">
        <x:v>1–1,5 ч</x:v>
      </x:c>
      <x:c r="K79" s="4" t="str">
        <x:v>Средне</x:v>
      </x:c>
      <x:c r="L79" s="4" t="str">
        <x:v>Сбор на месте; тариф уточнить</x:v>
      </x:c>
      <x:c r="M79" s="8" t="str">
        <x:f>HYPERLINK("https://www.google.com/maps/search/?api=1&amp;query=-8.493209,115.462294","На карте ↗")</x:f>
        <x:v>На карте ↗</x:v>
      </x:c>
      <x:c r="N79" s="8" t="str">
        <x:f>HYPERLINK("#'Фото'!K49","Фото →")</x:f>
        <x:v>Фото →</x:v>
      </x:c>
      <x:c r="O79" s="8" t="str">
        <x:f>HYPERLINK("#'Отзывы'!A18","2 отзыва →")</x:f>
        <x:v>2 отзыва →</x:v>
      </x:c>
      <x:c r="P79" s="4" t="str"/>
    </x:row>
    <x:row r="80" ht="70.5" customHeight="1">
      <x:c r="A80" s="31" t="n">
        <x:v>70</x:v>
      </x:c>
      <x:c r="B80" s="30" t="n">
        <x:v>49</x:v>
      </x:c>
      <x:c r="C80" s="17" t="str">
        <x:v>Bukit Asah</x:v>
      </x:c>
      <x:c r="D80" s="16" t="str">
        <x:v>Природа и прогулки</x:v>
      </x:c>
      <x:c r="E80" s="16" t="str">
        <x:v>Карангасем</x:v>
      </x:c>
      <x:c r="F80" s="41" t="n">
        <x:v>4.2</x:v>
      </x:c>
      <x:c r="G80" s="39" t="n">
        <x:v>17</x:v>
      </x:c>
      <x:c r="H80" s="16" t="str">
        <x:v>Холм над морем рядом с Virgin Beach; пейзажная остановка.</x:v>
      </x:c>
      <x:c r="I80" s="16" t="str">
        <x:v>Неочевидное</x:v>
      </x:c>
      <x:c r="J80" s="16" t="str">
        <x:v>30–60 мин</x:v>
      </x:c>
      <x:c r="K80" s="16" t="str">
        <x:v>Средне</x:v>
      </x:c>
      <x:c r="L80" s="16" t="str">
        <x:v>Местный сбор; уточнить</x:v>
      </x:c>
      <x:c r="M80" s="18" t="str">
        <x:f>HYPERLINK("https://www.google.com/maps/search/?api=1&amp;query=-8.504924,115.610783","На карте ↗")</x:f>
        <x:v>На карте ↗</x:v>
      </x:c>
      <x:c r="N80" s="18" t="str">
        <x:f>HYPERLINK("#'Фото'!A231","Фото →")</x:f>
        <x:v>Фото →</x:v>
      </x:c>
      <x:c r="O80" s="18" t="str">
        <x:f>HYPERLINK("#'Отзывы'!A55","2 отзыва →")</x:f>
        <x:v>2 отзыва →</x:v>
      </x:c>
      <x:c r="P80" s="16" t="str"/>
    </x:row>
    <x:row r="81" ht="70.5" customHeight="1">
      <x:c r="A81" s="29" t="n">
        <x:v>71</x:v>
      </x:c>
      <x:c r="B81" s="30" t="n">
        <x:v>47</x:v>
      </x:c>
      <x:c r="C81" s="7" t="str">
        <x:v>Sidemen Rice Terrace</x:v>
      </x:c>
      <x:c r="D81" s="4" t="str">
        <x:v>Природа и прогулки</x:v>
      </x:c>
      <x:c r="E81" s="4" t="str">
        <x:v>Сидемен</x:v>
      </x:c>
      <x:c r="F81" s="40" t="n">
        <x:v>4.1</x:v>
      </x:c>
      <x:c r="G81" s="38" t="n">
        <x:v>12</x:v>
      </x:c>
      <x:c r="H81" s="4" t="str">
        <x:v>Пешая прогулка среди работающих рисовых полей Сидемена.</x:v>
      </x:c>
      <x:c r="I81" s="4" t="str">
        <x:v>Неочевидное</x:v>
      </x:c>
      <x:c r="J81" s="4" t="str">
        <x:v>1–2 ч</x:v>
      </x:c>
      <x:c r="K81" s="4" t="str">
        <x:v>Средне</x:v>
      </x:c>
      <x:c r="L81" s="4" t="str">
        <x:v>25 тыс. IDR — отзывы 2025</x:v>
      </x:c>
      <x:c r="M81" s="8" t="str">
        <x:f>HYPERLINK("https://www.google.com/maps/search/?api=1&amp;query=-8.470204,115.437199","На карте ↗")</x:f>
        <x:v>На карте ↗</x:v>
      </x:c>
      <x:c r="N81" s="8" t="str">
        <x:f>HYPERLINK("#'Фото'!F217","Фото →")</x:f>
        <x:v>Фото →</x:v>
      </x:c>
      <x:c r="O81" s="8" t="str">
        <x:f>HYPERLINK("#'Отзывы'!A53","2 отзыва →")</x:f>
        <x:v>2 отзыва →</x:v>
      </x:c>
      <x:c r="P81" s="4" t="str"/>
    </x:row>
    <x:row r="82" ht="70.5" customHeight="1">
      <x:c r="A82" s="31" t="n">
        <x:v>72</x:v>
      </x:c>
      <x:c r="B82" s="34" t="n">
        <x:v>13</x:v>
      </x:c>
      <x:c r="C82" s="17" t="str">
        <x:v>Suwat Waterfall</x:v>
      </x:c>
      <x:c r="D82" s="16" t="str">
        <x:v>Водопады</x:v>
      </x:c>
      <x:c r="E82" s="16" t="str">
        <x:v>Убуд</x:v>
      </x:c>
      <x:c r="F82" s="41" t="n">
        <x:v>4.1</x:v>
      </x:c>
      <x:c r="G82" s="39" t="n">
        <x:v>9</x:v>
      </x:c>
      <x:c r="H82" s="16" t="str">
        <x:v>Компактный водопад с зелёным подходом и фотоплотом.</x:v>
      </x:c>
      <x:c r="I82" s="16" t="str">
        <x:v>Неочевидное</x:v>
      </x:c>
      <x:c r="J82" s="16" t="str">
        <x:v>1–1,5 ч</x:v>
      </x:c>
      <x:c r="K82" s="16" t="str">
        <x:v>Средне</x:v>
      </x:c>
      <x:c r="L82" s="16" t="str">
        <x:v>45 тыс. IDR — отзыв 02.2025; плот отдельно</x:v>
      </x:c>
      <x:c r="M82" s="18" t="str">
        <x:f>HYPERLINK("https://www.google.com/maps/search/?api=1&amp;query=-8.486301,115.318034","На карте ↗")</x:f>
        <x:v>На карте ↗</x:v>
      </x:c>
      <x:c r="N82" s="18" t="str">
        <x:f>HYPERLINK("#'Фото'!A63","Фото →")</x:f>
        <x:v>Фото →</x:v>
      </x:c>
      <x:c r="O82" s="18" t="str">
        <x:f>HYPERLINK("#'Отзывы'!A19","2 отзыва →")</x:f>
        <x:v>2 отзыва →</x:v>
      </x:c>
      <x:c r="P82" s="16" t="str"/>
    </x:row>
    <x:row r="83" ht="70.5" customHeight="1">
      <x:c r="A83" s="29" t="str">
        <x:v>—</x:v>
      </x:c>
      <x:c r="B83" s="30" t="n">
        <x:v>56</x:v>
      </x:c>
      <x:c r="C83" s="7" t="str">
        <x:v>Savana Tianyar</x:v>
      </x:c>
      <x:c r="D83" s="4" t="str">
        <x:v>Природа и прогулки</x:v>
      </x:c>
      <x:c r="E83" s="4" t="str">
        <x:v>Тианьяр</x:v>
      </x:c>
      <x:c r="F83" s="40" t="n">
        <x:v>4.5</x:v>
      </x:c>
      <x:c r="G83" s="38" t="str">
        <x:v>н/д</x:v>
      </x:c>
      <x:c r="H83" s="4" t="str">
        <x:v>Открытые травяные поля у северного подножия Агунга.</x:v>
      </x:c>
      <x:c r="I83" s="4" t="str">
        <x:v>Неочевидное</x:v>
      </x:c>
      <x:c r="J83" s="4" t="str">
        <x:v>1–2 ч</x:v>
      </x:c>
      <x:c r="K83" s="4" t="str">
        <x:v>Средне</x:v>
      </x:c>
      <x:c r="L83" s="4" t="str">
        <x:v>Местный сбор/пожертвование; единого тарифа не подтверждено</x:v>
      </x:c>
      <x:c r="M83" s="8" t="str">
        <x:f>HYPERLINK("https://www.google.com/maps/search/?api=1&amp;query=Savana%20Tianyar%20Bali","На карте ↗")</x:f>
        <x:v>На карте ↗</x:v>
      </x:c>
      <x:c r="N83" s="8" t="str">
        <x:f>HYPERLINK("#'Фото'!F259","Фото →")</x:f>
        <x:v>Фото →</x:v>
      </x:c>
      <x:c r="O83" s="8" t="str">
        <x:f>HYPERLINK("#'Отзывы'!A62","2 отзыва →")</x:f>
        <x:v>2 отзыва →</x:v>
      </x:c>
      <x:c r="P83" s="4" t="str"/>
    </x:row>
    <x:row r="84" ht="18.75" customHeight="1">
      <x:c r="A84" s="4"/>
      <x:c r="B84" s="4"/>
      <x:c r="C84" s="4"/>
      <x:c r="D84" s="4"/>
      <x:c r="E84" s="4"/>
      <x:c r="F84" s="4"/>
      <x:c r="G84" s="4"/>
      <x:c r="H84" s="4"/>
      <x:c r="I84" s="4"/>
      <x:c r="J84" s="4"/>
      <x:c r="K84" s="4"/>
      <x:c r="L84" s="4"/>
      <x:c r="M84" s="4"/>
      <x:c r="N84" s="4"/>
      <x:c r="O84" s="4"/>
      <x:c r="P84" s="4"/>
    </x:row>
    <x:row r="85" ht="18.75" customHeight="1">
      <x:c r="A85" s="4"/>
      <x:c r="B85" s="4"/>
      <x:c r="C85" s="4"/>
      <x:c r="D85" s="4"/>
      <x:c r="E85" s="4"/>
      <x:c r="F85" s="4"/>
      <x:c r="G85" s="4"/>
      <x:c r="H85" s="4"/>
      <x:c r="I85" s="4"/>
      <x:c r="J85" s="4"/>
      <x:c r="K85" s="4"/>
      <x:c r="L85" s="4"/>
      <x:c r="M85" s="4"/>
      <x:c r="N85" s="4"/>
      <x:c r="O85" s="4"/>
      <x:c r="P85" s="4"/>
    </x:row>
    <x:row r="86" ht="18.75" customHeight="1">
      <x:c r="A86" s="10" t="str">
        <x:v>КАРТА БАЛИ • каждый номер соответствует ID выше</x:v>
      </x:c>
      <x:c r="B86" s="10" t="str">
        <x:v>КАРТА БАЛИ • каждый номер соответствует ID выше</x:v>
      </x:c>
      <x:c r="C86" s="10" t="str">
        <x:v>КАРТА БАЛИ • каждый номер соответствует ID выше</x:v>
      </x:c>
      <x:c r="D86" s="10" t="str">
        <x:v>КАРТА БАЛИ • каждый номер соответствует ID выше</x:v>
      </x:c>
      <x:c r="E86" s="10" t="str">
        <x:v>КАРТА БАЛИ • каждый номер соответствует ID выше</x:v>
      </x:c>
      <x:c r="F86" s="10" t="str">
        <x:v>КАРТА БАЛИ • каждый номер соответствует ID выше</x:v>
      </x:c>
      <x:c r="G86" s="10" t="str">
        <x:v>КАРТА БАЛИ • каждый номер соответствует ID выше</x:v>
      </x:c>
      <x:c r="H86" s="10" t="str">
        <x:v>КАРТА БАЛИ • каждый номер соответствует ID выше</x:v>
      </x:c>
      <x:c r="I86" s="10" t="str">
        <x:v>КАРТА БАЛИ • каждый номер соответствует ID выше</x:v>
      </x:c>
      <x:c r="J86" s="10" t="str">
        <x:v>КАРТА БАЛИ • каждый номер соответствует ID выше</x:v>
      </x:c>
      <x:c r="K86" s="10" t="str">
        <x:v>КАРТА БАЛИ • каждый номер соответствует ID выше</x:v>
      </x:c>
      <x:c r="L86" s="10" t="str">
        <x:v>КАРТА БАЛИ • каждый номер соответствует ID выше</x:v>
      </x:c>
      <x:c r="M86" s="10" t="str">
        <x:v>КАРТА БАЛИ • каждый номер соответствует ID выше</x:v>
      </x:c>
      <x:c r="N86" s="10" t="str">
        <x:v>КАРТА БАЛИ • каждый номер соответствует ID выше</x:v>
      </x:c>
      <x:c r="O86" s="10" t="str">
        <x:v>КАРТА БАЛИ • каждый номер соответствует ID выше</x:v>
      </x:c>
      <x:c r="P86" s="10" t="str">
        <x:v>КАРТА БАЛИ • каждый номер соответствует ID выше</x:v>
      </x:c>
    </x:row>
    <x:row r="87" ht="18.75" customHeight="1">
      <x:c r="A87" s="10" t="str">
        <x:v>КАРТА БАЛИ • каждый номер соответствует ID выше</x:v>
      </x:c>
      <x:c r="B87" s="10" t="str">
        <x:v>КАРТА БАЛИ • каждый номер соответствует ID выше</x:v>
      </x:c>
      <x:c r="C87" s="10" t="str">
        <x:v>КАРТА БАЛИ • каждый номер соответствует ID выше</x:v>
      </x:c>
      <x:c r="D87" s="10" t="str">
        <x:v>КАРТА БАЛИ • каждый номер соответствует ID выше</x:v>
      </x:c>
      <x:c r="E87" s="10" t="str">
        <x:v>КАРТА БАЛИ • каждый номер соответствует ID выше</x:v>
      </x:c>
      <x:c r="F87" s="10" t="str">
        <x:v>КАРТА БАЛИ • каждый номер соответствует ID выше</x:v>
      </x:c>
      <x:c r="G87" s="10" t="str">
        <x:v>КАРТА БАЛИ • каждый номер соответствует ID выше</x:v>
      </x:c>
      <x:c r="H87" s="10" t="str">
        <x:v>КАРТА БАЛИ • каждый номер соответствует ID выше</x:v>
      </x:c>
      <x:c r="I87" s="10" t="str">
        <x:v>КАРТА БАЛИ • каждый номер соответствует ID выше</x:v>
      </x:c>
      <x:c r="J87" s="10" t="str">
        <x:v>КАРТА БАЛИ • каждый номер соответствует ID выше</x:v>
      </x:c>
      <x:c r="K87" s="10" t="str">
        <x:v>КАРТА БАЛИ • каждый номер соответствует ID выше</x:v>
      </x:c>
      <x:c r="L87" s="10" t="str">
        <x:v>КАРТА БАЛИ • каждый номер соответствует ID выше</x:v>
      </x:c>
      <x:c r="M87" s="10" t="str">
        <x:v>КАРТА БАЛИ • каждый номер соответствует ID выше</x:v>
      </x:c>
      <x:c r="N87" s="10" t="str">
        <x:v>КАРТА БАЛИ • каждый номер соответствует ID выше</x:v>
      </x:c>
      <x:c r="O87" s="10" t="str">
        <x:v>КАРТА БАЛИ • каждый номер соответствует ID выше</x:v>
      </x:c>
      <x:c r="P87" s="10" t="str">
        <x:v>КАРТА БАЛИ • каждый номер соответствует ID выше</x:v>
      </x:c>
    </x:row>
    <x:row r="88" ht="18.75" customHeight="1">
      <x:c r="A88" s="4"/>
      <x:c r="B88" s="4"/>
      <x:c r="C88" s="4"/>
      <x:c r="D88" s="4"/>
      <x:c r="E88" s="4"/>
      <x:c r="F88" s="4"/>
      <x:c r="G88" s="4"/>
      <x:c r="H88" s="4"/>
      <x:c r="I88" s="4"/>
      <x:c r="J88" s="4"/>
      <x:c r="K88" s="4"/>
      <x:c r="L88" s="4"/>
      <x:c r="M88" s="4"/>
      <x:c r="N88" s="4"/>
      <x:c r="O88" s="4"/>
      <x:c r="P88" s="4"/>
    </x:row>
    <x:row r="89" ht="18.75" customHeight="1">
      <x:c r="A89" s="4"/>
      <x:c r="B89" s="4"/>
      <x:c r="C89" s="4"/>
      <x:c r="D89" s="4"/>
      <x:c r="E89" s="4"/>
      <x:c r="F89" s="4"/>
      <x:c r="G89" s="4"/>
      <x:c r="H89" s="4"/>
      <x:c r="I89" s="4"/>
      <x:c r="J89" s="4"/>
      <x:c r="K89" s="4"/>
      <x:c r="L89" s="4"/>
      <x:c r="M89" s="4"/>
      <x:c r="N89" s="4"/>
      <x:c r="O89" s="4"/>
      <x:c r="P89" s="4"/>
    </x:row>
    <x:row r="90" ht="18.75" customHeight="1">
      <x:c r="A90" s="4"/>
      <x:c r="B90" s="4"/>
      <x:c r="C90" s="4"/>
      <x:c r="D90" s="4"/>
      <x:c r="E90" s="4"/>
      <x:c r="F90" s="4"/>
      <x:c r="G90" s="4"/>
      <x:c r="H90" s="4"/>
      <x:c r="I90" s="4"/>
      <x:c r="J90" s="4"/>
      <x:c r="K90" s="4"/>
      <x:c r="L90" s="4"/>
      <x:c r="M90" s="4"/>
      <x:c r="N90" s="4"/>
      <x:c r="O90" s="4"/>
      <x:c r="P90" s="4"/>
    </x:row>
    <x:row r="91" ht="18.75" customHeight="1">
      <x:c r="A91" s="4"/>
      <x:c r="B91" s="4"/>
      <x:c r="C91" s="4"/>
      <x:c r="D91" s="4"/>
      <x:c r="E91" s="4"/>
      <x:c r="F91" s="4"/>
      <x:c r="G91" s="4"/>
      <x:c r="H91" s="4"/>
      <x:c r="I91" s="4"/>
      <x:c r="J91" s="4"/>
      <x:c r="K91" s="4"/>
      <x:c r="L91" s="4"/>
      <x:c r="M91" s="4"/>
      <x:c r="N91" s="4"/>
      <x:c r="O91" s="4"/>
      <x:c r="P91" s="4"/>
    </x:row>
    <x:row r="92" ht="18.75" customHeight="1">
      <x:c r="A92" s="4"/>
      <x:c r="B92" s="4"/>
      <x:c r="C92" s="4"/>
      <x:c r="D92" s="4"/>
      <x:c r="E92" s="4"/>
      <x:c r="F92" s="4"/>
      <x:c r="G92" s="4"/>
      <x:c r="H92" s="4"/>
      <x:c r="I92" s="4"/>
      <x:c r="J92" s="4"/>
      <x:c r="K92" s="4"/>
      <x:c r="L92" s="4"/>
      <x:c r="M92" s="4"/>
      <x:c r="N92" s="4"/>
      <x:c r="O92" s="4"/>
      <x:c r="P92" s="4"/>
    </x:row>
    <x:row r="93" ht="18.75" customHeight="1">
      <x:c r="A93" s="4"/>
      <x:c r="B93" s="4"/>
      <x:c r="C93" s="4"/>
      <x:c r="D93" s="4"/>
      <x:c r="E93" s="4"/>
      <x:c r="F93" s="4"/>
      <x:c r="G93" s="4"/>
      <x:c r="H93" s="4"/>
      <x:c r="I93" s="4"/>
      <x:c r="J93" s="4"/>
      <x:c r="K93" s="4"/>
      <x:c r="L93" s="4"/>
      <x:c r="M93" s="4"/>
      <x:c r="N93" s="4"/>
      <x:c r="O93" s="4"/>
      <x:c r="P93" s="4"/>
    </x:row>
    <x:row r="94" ht="18.75" customHeight="1">
      <x:c r="A94" s="4"/>
      <x:c r="B94" s="4"/>
      <x:c r="C94" s="4"/>
      <x:c r="D94" s="4"/>
      <x:c r="E94" s="4"/>
      <x:c r="F94" s="4"/>
      <x:c r="G94" s="4"/>
      <x:c r="H94" s="4"/>
      <x:c r="I94" s="4"/>
      <x:c r="J94" s="4"/>
      <x:c r="K94" s="4"/>
      <x:c r="L94" s="4"/>
      <x:c r="M94" s="4"/>
      <x:c r="N94" s="4"/>
      <x:c r="O94" s="4"/>
      <x:c r="P94" s="4"/>
    </x:row>
    <x:row r="95" ht="18.75" customHeight="1">
      <x:c r="A95" s="4"/>
      <x:c r="B95" s="4"/>
      <x:c r="C95" s="4"/>
      <x:c r="D95" s="4"/>
      <x:c r="E95" s="4"/>
      <x:c r="F95" s="4"/>
      <x:c r="G95" s="4"/>
      <x:c r="H95" s="4"/>
      <x:c r="I95" s="4"/>
      <x:c r="J95" s="4"/>
      <x:c r="K95" s="4"/>
      <x:c r="L95" s="4"/>
      <x:c r="M95" s="4"/>
      <x:c r="N95" s="4"/>
      <x:c r="O95" s="4"/>
      <x:c r="P95" s="4"/>
    </x:row>
    <x:row r="96" ht="18.75" customHeight="1">
      <x:c r="A96" s="4"/>
      <x:c r="B96" s="4"/>
      <x:c r="C96" s="4"/>
      <x:c r="D96" s="4"/>
      <x:c r="E96" s="4"/>
      <x:c r="F96" s="4"/>
      <x:c r="G96" s="4"/>
      <x:c r="H96" s="4"/>
      <x:c r="I96" s="4"/>
      <x:c r="J96" s="4"/>
      <x:c r="K96" s="4"/>
      <x:c r="L96" s="4"/>
      <x:c r="M96" s="4"/>
      <x:c r="N96" s="4"/>
      <x:c r="O96" s="4"/>
      <x:c r="P96" s="4"/>
    </x:row>
    <x:row r="97" ht="18.75" customHeight="1">
      <x:c r="A97" s="4"/>
      <x:c r="B97" s="4"/>
      <x:c r="C97" s="4"/>
      <x:c r="D97" s="4"/>
      <x:c r="E97" s="4"/>
      <x:c r="F97" s="4"/>
      <x:c r="G97" s="4"/>
      <x:c r="H97" s="4"/>
      <x:c r="I97" s="4"/>
      <x:c r="J97" s="4"/>
      <x:c r="K97" s="4"/>
      <x:c r="L97" s="4"/>
      <x:c r="M97" s="4"/>
      <x:c r="N97" s="4"/>
      <x:c r="O97" s="4"/>
      <x:c r="P97" s="4"/>
    </x:row>
    <x:row r="98" ht="18.75" customHeight="1">
      <x:c r="A98" s="4"/>
      <x:c r="B98" s="4"/>
      <x:c r="C98" s="4"/>
      <x:c r="D98" s="4"/>
      <x:c r="E98" s="4"/>
      <x:c r="F98" s="4"/>
      <x:c r="G98" s="4"/>
      <x:c r="H98" s="4"/>
      <x:c r="I98" s="4"/>
      <x:c r="J98" s="4"/>
      <x:c r="K98" s="4"/>
      <x:c r="L98" s="4"/>
      <x:c r="M98" s="4"/>
      <x:c r="N98" s="4"/>
      <x:c r="O98" s="4"/>
      <x:c r="P98" s="4"/>
    </x:row>
    <x:row r="99" ht="18.75" customHeight="1">
      <x:c r="A99" s="4"/>
      <x:c r="B99" s="4"/>
      <x:c r="C99" s="4"/>
      <x:c r="D99" s="4"/>
      <x:c r="E99" s="4"/>
      <x:c r="F99" s="4"/>
      <x:c r="G99" s="4"/>
      <x:c r="H99" s="4"/>
      <x:c r="I99" s="4"/>
      <x:c r="J99" s="4"/>
      <x:c r="K99" s="4"/>
      <x:c r="L99" s="4"/>
      <x:c r="M99" s="4"/>
      <x:c r="N99" s="4"/>
      <x:c r="O99" s="4"/>
      <x:c r="P99" s="4"/>
    </x:row>
    <x:row r="100" ht="18.75" customHeight="1">
      <x:c r="A100" s="4"/>
      <x:c r="B100" s="4"/>
      <x:c r="C100" s="4"/>
      <x:c r="D100" s="4"/>
      <x:c r="E100" s="4"/>
      <x:c r="F100" s="4"/>
      <x:c r="G100" s="4"/>
      <x:c r="H100" s="4"/>
      <x:c r="I100" s="4"/>
      <x:c r="J100" s="4"/>
      <x:c r="K100" s="4"/>
      <x:c r="L100" s="4"/>
      <x:c r="M100" s="4"/>
      <x:c r="N100" s="4"/>
      <x:c r="O100" s="4"/>
      <x:c r="P100" s="4"/>
    </x:row>
    <x:row r="101" ht="18.75" customHeight="1">
      <x:c r="A101" s="4"/>
      <x:c r="B101" s="4"/>
      <x:c r="C101" s="4"/>
      <x:c r="D101" s="4"/>
      <x:c r="E101" s="4"/>
      <x:c r="F101" s="4"/>
      <x:c r="G101" s="4"/>
      <x:c r="H101" s="4"/>
      <x:c r="I101" s="4"/>
      <x:c r="J101" s="4"/>
      <x:c r="K101" s="4"/>
      <x:c r="L101" s="4"/>
      <x:c r="M101" s="4"/>
      <x:c r="N101" s="4"/>
      <x:c r="O101" s="4"/>
      <x:c r="P101" s="4"/>
    </x:row>
    <x:row r="102" ht="18.75" customHeight="1">
      <x:c r="A102" s="4"/>
      <x:c r="B102" s="4"/>
      <x:c r="C102" s="4"/>
      <x:c r="D102" s="4"/>
      <x:c r="E102" s="4"/>
      <x:c r="F102" s="4"/>
      <x:c r="G102" s="4"/>
      <x:c r="H102" s="4"/>
      <x:c r="I102" s="4"/>
      <x:c r="J102" s="4"/>
      <x:c r="K102" s="4"/>
      <x:c r="L102" s="4"/>
      <x:c r="M102" s="4"/>
      <x:c r="N102" s="4"/>
      <x:c r="O102" s="4"/>
      <x:c r="P102" s="4"/>
    </x:row>
    <x:row r="103" ht="18.75" customHeight="1">
      <x:c r="A103" s="4"/>
      <x:c r="B103" s="4"/>
      <x:c r="C103" s="4"/>
      <x:c r="D103" s="4"/>
      <x:c r="E103" s="4"/>
      <x:c r="F103" s="4"/>
      <x:c r="G103" s="4"/>
      <x:c r="H103" s="4"/>
      <x:c r="I103" s="4"/>
      <x:c r="J103" s="4"/>
      <x:c r="K103" s="4"/>
      <x:c r="L103" s="4"/>
      <x:c r="M103" s="4"/>
      <x:c r="N103" s="4"/>
      <x:c r="O103" s="4"/>
      <x:c r="P103" s="4"/>
    </x:row>
    <x:row r="104" ht="18.75" customHeight="1">
      <x:c r="A104" s="4"/>
      <x:c r="B104" s="4"/>
      <x:c r="C104" s="4"/>
      <x:c r="D104" s="4"/>
      <x:c r="E104" s="4"/>
      <x:c r="F104" s="4"/>
      <x:c r="G104" s="4"/>
      <x:c r="H104" s="4"/>
      <x:c r="I104" s="4"/>
      <x:c r="J104" s="4"/>
      <x:c r="K104" s="4"/>
      <x:c r="L104" s="4"/>
      <x:c r="M104" s="4"/>
      <x:c r="N104" s="4"/>
      <x:c r="O104" s="4"/>
      <x:c r="P104" s="4"/>
    </x:row>
    <x:row r="105" ht="18.75" customHeight="1">
      <x:c r="A105" s="4"/>
      <x:c r="B105" s="4"/>
      <x:c r="C105" s="4"/>
      <x:c r="D105" s="4"/>
      <x:c r="E105" s="4"/>
      <x:c r="F105" s="4"/>
      <x:c r="G105" s="4"/>
      <x:c r="H105" s="4"/>
      <x:c r="I105" s="4"/>
      <x:c r="J105" s="4"/>
      <x:c r="K105" s="4"/>
      <x:c r="L105" s="4"/>
      <x:c r="M105" s="4"/>
      <x:c r="N105" s="4"/>
      <x:c r="O105" s="4"/>
      <x:c r="P105" s="4"/>
    </x:row>
    <x:row r="106" ht="18.75" customHeight="1">
      <x:c r="A106" s="4"/>
      <x:c r="B106" s="4"/>
      <x:c r="C106" s="4"/>
      <x:c r="D106" s="4"/>
      <x:c r="E106" s="4"/>
      <x:c r="F106" s="4"/>
      <x:c r="G106" s="4"/>
      <x:c r="H106" s="4"/>
      <x:c r="I106" s="4"/>
      <x:c r="J106" s="4"/>
      <x:c r="K106" s="4"/>
      <x:c r="L106" s="4"/>
      <x:c r="M106" s="4"/>
      <x:c r="N106" s="4"/>
      <x:c r="O106" s="4"/>
      <x:c r="P106" s="4"/>
    </x:row>
    <x:row r="107" ht="18.75" customHeight="1">
      <x:c r="A107" s="4"/>
      <x:c r="B107" s="4"/>
      <x:c r="C107" s="4"/>
      <x:c r="D107" s="4"/>
      <x:c r="E107" s="4"/>
      <x:c r="F107" s="4"/>
      <x:c r="G107" s="4"/>
      <x:c r="H107" s="4"/>
      <x:c r="I107" s="4"/>
      <x:c r="J107" s="4"/>
      <x:c r="K107" s="4"/>
      <x:c r="L107" s="4"/>
      <x:c r="M107" s="4"/>
      <x:c r="N107" s="4"/>
      <x:c r="O107" s="4"/>
      <x:c r="P107" s="4"/>
    </x:row>
    <x:row r="108" ht="18.75" customHeight="1">
      <x:c r="A108" s="4"/>
      <x:c r="B108" s="4"/>
      <x:c r="C108" s="4"/>
      <x:c r="D108" s="4"/>
      <x:c r="E108" s="4"/>
      <x:c r="F108" s="4"/>
      <x:c r="G108" s="4"/>
      <x:c r="H108" s="4"/>
      <x:c r="I108" s="4"/>
      <x:c r="J108" s="4"/>
      <x:c r="K108" s="4"/>
      <x:c r="L108" s="4"/>
      <x:c r="M108" s="4"/>
      <x:c r="N108" s="4"/>
      <x:c r="O108" s="4"/>
      <x:c r="P108" s="4"/>
    </x:row>
    <x:row r="109" ht="18.75" customHeight="1">
      <x:c r="A109" s="4"/>
      <x:c r="B109" s="4"/>
      <x:c r="C109" s="4"/>
      <x:c r="D109" s="4"/>
      <x:c r="E109" s="4"/>
      <x:c r="F109" s="4"/>
      <x:c r="G109" s="4"/>
      <x:c r="H109" s="4"/>
      <x:c r="I109" s="4"/>
      <x:c r="J109" s="4"/>
      <x:c r="K109" s="4"/>
      <x:c r="L109" s="4"/>
      <x:c r="M109" s="4"/>
      <x:c r="N109" s="4"/>
      <x:c r="O109" s="4"/>
      <x:c r="P109" s="4"/>
    </x:row>
    <x:row r="110" ht="18.75" customHeight="1">
      <x:c r="A110" s="4"/>
      <x:c r="B110" s="4"/>
      <x:c r="C110" s="4"/>
      <x:c r="D110" s="4"/>
      <x:c r="E110" s="4"/>
      <x:c r="F110" s="4"/>
      <x:c r="G110" s="4"/>
      <x:c r="H110" s="4"/>
      <x:c r="I110" s="4"/>
      <x:c r="J110" s="4"/>
      <x:c r="K110" s="4"/>
      <x:c r="L110" s="4"/>
      <x:c r="M110" s="4"/>
      <x:c r="N110" s="4"/>
      <x:c r="O110" s="4"/>
      <x:c r="P110" s="4"/>
    </x:row>
    <x:row r="111" ht="18.75" customHeight="1">
      <x:c r="A111" s="4"/>
      <x:c r="B111" s="4"/>
      <x:c r="C111" s="4"/>
      <x:c r="D111" s="4"/>
      <x:c r="E111" s="4"/>
      <x:c r="F111" s="4"/>
      <x:c r="G111" s="4"/>
      <x:c r="H111" s="4"/>
      <x:c r="I111" s="4"/>
      <x:c r="J111" s="4"/>
      <x:c r="K111" s="4"/>
      <x:c r="L111" s="4"/>
      <x:c r="M111" s="4"/>
      <x:c r="N111" s="4"/>
      <x:c r="O111" s="4"/>
      <x:c r="P111" s="4"/>
    </x:row>
    <x:row r="112" ht="18.75" customHeight="1">
      <x:c r="A112" s="4"/>
      <x:c r="B112" s="4"/>
      <x:c r="C112" s="4"/>
      <x:c r="D112" s="4"/>
      <x:c r="E112" s="4"/>
      <x:c r="F112" s="4"/>
      <x:c r="G112" s="4"/>
      <x:c r="H112" s="4"/>
      <x:c r="I112" s="4"/>
      <x:c r="J112" s="4"/>
      <x:c r="K112" s="4"/>
      <x:c r="L112" s="4"/>
      <x:c r="M112" s="4"/>
      <x:c r="N112" s="4"/>
      <x:c r="O112" s="4"/>
      <x:c r="P112" s="4"/>
    </x:row>
    <x:row r="113" ht="18.75" customHeight="1">
      <x:c r="A113" s="4"/>
      <x:c r="B113" s="4"/>
      <x:c r="C113" s="4"/>
      <x:c r="D113" s="4"/>
      <x:c r="E113" s="4"/>
      <x:c r="F113" s="4"/>
      <x:c r="G113" s="4"/>
      <x:c r="H113" s="4"/>
      <x:c r="I113" s="4"/>
      <x:c r="J113" s="4"/>
      <x:c r="K113" s="4"/>
      <x:c r="L113" s="4"/>
      <x:c r="M113" s="4"/>
      <x:c r="N113" s="4"/>
      <x:c r="O113" s="4"/>
      <x:c r="P113" s="4"/>
    </x:row>
    <x:row r="114" ht="18.75" customHeight="1">
      <x:c r="A114" s="4"/>
      <x:c r="B114" s="4"/>
      <x:c r="C114" s="4"/>
      <x:c r="D114" s="4"/>
      <x:c r="E114" s="4"/>
      <x:c r="F114" s="4"/>
      <x:c r="G114" s="4"/>
      <x:c r="H114" s="4"/>
      <x:c r="I114" s="4"/>
      <x:c r="J114" s="4"/>
      <x:c r="K114" s="4"/>
      <x:c r="L114" s="4"/>
      <x:c r="M114" s="4"/>
      <x:c r="N114" s="4"/>
      <x:c r="O114" s="4"/>
      <x:c r="P114" s="4"/>
    </x:row>
    <x:row r="115" ht="18.75" customHeight="1">
      <x:c r="A115" s="4"/>
      <x:c r="B115" s="4"/>
      <x:c r="C115" s="4"/>
      <x:c r="D115" s="4"/>
      <x:c r="E115" s="4"/>
      <x:c r="F115" s="4"/>
      <x:c r="G115" s="4"/>
      <x:c r="H115" s="4"/>
      <x:c r="I115" s="4"/>
      <x:c r="J115" s="4"/>
      <x:c r="K115" s="4"/>
      <x:c r="L115" s="4"/>
      <x:c r="M115" s="4"/>
      <x:c r="N115" s="4"/>
      <x:c r="O115" s="4"/>
      <x:c r="P115" s="4"/>
    </x:row>
    <x:row r="116" ht="18.75" customHeight="1">
      <x:c r="A116" s="4"/>
      <x:c r="B116" s="4"/>
      <x:c r="C116" s="4"/>
      <x:c r="D116" s="4"/>
      <x:c r="E116" s="4"/>
      <x:c r="F116" s="4"/>
      <x:c r="G116" s="4"/>
      <x:c r="H116" s="4"/>
      <x:c r="I116" s="4"/>
      <x:c r="J116" s="4"/>
      <x:c r="K116" s="4"/>
      <x:c r="L116" s="4"/>
      <x:c r="M116" s="4"/>
      <x:c r="N116" s="4"/>
      <x:c r="O116" s="4"/>
      <x:c r="P116" s="4"/>
    </x:row>
    <x:row r="117" ht="18.75" customHeight="1">
      <x:c r="A117" s="4"/>
      <x:c r="B117" s="4"/>
      <x:c r="C117" s="4"/>
      <x:c r="D117" s="4"/>
      <x:c r="E117" s="4"/>
      <x:c r="F117" s="4"/>
      <x:c r="G117" s="4"/>
      <x:c r="H117" s="4"/>
      <x:c r="I117" s="4"/>
      <x:c r="J117" s="4"/>
      <x:c r="K117" s="4"/>
      <x:c r="L117" s="4"/>
      <x:c r="M117" s="4"/>
      <x:c r="N117" s="4"/>
      <x:c r="O117" s="4"/>
      <x:c r="P117" s="4"/>
    </x:row>
    <x:row r="118" ht="18.75" customHeight="1">
      <x:c r="A118" s="4"/>
      <x:c r="B118" s="4"/>
      <x:c r="C118" s="4"/>
      <x:c r="D118" s="4"/>
      <x:c r="E118" s="4"/>
      <x:c r="F118" s="4"/>
      <x:c r="G118" s="4"/>
      <x:c r="H118" s="4"/>
      <x:c r="I118" s="4"/>
      <x:c r="J118" s="4"/>
      <x:c r="K118" s="4"/>
      <x:c r="L118" s="4"/>
      <x:c r="M118" s="4"/>
      <x:c r="N118" s="4"/>
      <x:c r="O118" s="4"/>
      <x:c r="P118" s="4"/>
    </x:row>
    <x:row r="119" ht="18.75" customHeight="1">
      <x:c r="A119" s="4"/>
      <x:c r="B119" s="4"/>
      <x:c r="C119" s="4"/>
      <x:c r="D119" s="4"/>
      <x:c r="E119" s="4"/>
      <x:c r="F119" s="4"/>
      <x:c r="G119" s="4"/>
      <x:c r="H119" s="4"/>
      <x:c r="I119" s="4"/>
      <x:c r="J119" s="4"/>
      <x:c r="K119" s="4"/>
      <x:c r="L119" s="4"/>
      <x:c r="M119" s="4"/>
      <x:c r="N119" s="4"/>
      <x:c r="O119" s="4"/>
      <x:c r="P119" s="4"/>
    </x:row>
    <x:row r="120" ht="18.75" customHeight="1">
      <x:c r="A120" s="4"/>
      <x:c r="B120" s="4"/>
      <x:c r="C120" s="4"/>
      <x:c r="D120" s="4"/>
      <x:c r="E120" s="4"/>
      <x:c r="F120" s="4"/>
      <x:c r="G120" s="4"/>
      <x:c r="H120" s="4"/>
      <x:c r="I120" s="4"/>
      <x:c r="J120" s="4"/>
      <x:c r="K120" s="4"/>
      <x:c r="L120" s="4"/>
      <x:c r="M120" s="4"/>
      <x:c r="N120" s="4"/>
      <x:c r="O120" s="4"/>
      <x:c r="P120" s="4"/>
    </x:row>
    <x:row r="121" ht="18.75" customHeight="1">
      <x:c r="A121" s="4"/>
      <x:c r="B121" s="4"/>
      <x:c r="C121" s="4"/>
      <x:c r="D121" s="4"/>
      <x:c r="E121" s="4"/>
      <x:c r="F121" s="4"/>
      <x:c r="G121" s="4"/>
      <x:c r="H121" s="4"/>
      <x:c r="I121" s="4"/>
      <x:c r="J121" s="4"/>
      <x:c r="K121" s="4"/>
      <x:c r="L121" s="4"/>
      <x:c r="M121" s="4"/>
      <x:c r="N121" s="4"/>
      <x:c r="O121" s="4"/>
      <x:c r="P121" s="4"/>
    </x:row>
    <x:row r="122" ht="18.75" customHeight="1">
      <x:c r="A122" s="4"/>
      <x:c r="B122" s="4"/>
      <x:c r="C122" s="4"/>
      <x:c r="D122" s="4"/>
      <x:c r="E122" s="4"/>
      <x:c r="F122" s="4"/>
      <x:c r="G122" s="4"/>
      <x:c r="H122" s="4"/>
      <x:c r="I122" s="4"/>
      <x:c r="J122" s="4"/>
      <x:c r="K122" s="4"/>
      <x:c r="L122" s="4"/>
      <x:c r="M122" s="4"/>
      <x:c r="N122" s="4"/>
      <x:c r="O122" s="4"/>
      <x:c r="P122" s="4"/>
    </x:row>
    <x:row r="123" ht="18.75" customHeight="1">
      <x:c r="A123" s="4"/>
      <x:c r="B123" s="4"/>
      <x:c r="C123" s="4"/>
      <x:c r="D123" s="4"/>
      <x:c r="E123" s="4"/>
      <x:c r="F123" s="4"/>
      <x:c r="G123" s="4"/>
      <x:c r="H123" s="4"/>
      <x:c r="I123" s="4"/>
      <x:c r="J123" s="4"/>
      <x:c r="K123" s="4"/>
      <x:c r="L123" s="4"/>
      <x:c r="M123" s="4"/>
      <x:c r="N123" s="4"/>
      <x:c r="O123" s="4"/>
      <x:c r="P123" s="4"/>
    </x:row>
    <x:row r="124" ht="18.75" customHeight="1">
      <x:c r="A124" s="4"/>
      <x:c r="B124" s="4"/>
      <x:c r="C124" s="4"/>
      <x:c r="D124" s="4"/>
      <x:c r="E124" s="4"/>
      <x:c r="F124" s="4"/>
      <x:c r="G124" s="4"/>
      <x:c r="H124" s="4"/>
      <x:c r="I124" s="4"/>
      <x:c r="J124" s="4"/>
      <x:c r="K124" s="4"/>
      <x:c r="L124" s="4"/>
      <x:c r="M124" s="4"/>
      <x:c r="N124" s="4"/>
      <x:c r="O124" s="4"/>
      <x:c r="P124" s="4"/>
    </x:row>
    <x:row r="125" ht="18.75" customHeight="1">
      <x:c r="A125" s="4"/>
      <x:c r="B125" s="4"/>
      <x:c r="C125" s="4"/>
      <x:c r="D125" s="4"/>
      <x:c r="E125" s="4"/>
      <x:c r="F125" s="4"/>
      <x:c r="G125" s="4"/>
      <x:c r="H125" s="4"/>
      <x:c r="I125" s="4"/>
      <x:c r="J125" s="4"/>
      <x:c r="K125" s="4"/>
      <x:c r="L125" s="4"/>
      <x:c r="M125" s="4"/>
      <x:c r="N125" s="4"/>
      <x:c r="O125" s="4"/>
      <x:c r="P125" s="4"/>
    </x:row>
    <x:row r="126" ht="18.75" customHeight="1">
      <x:c r="A126" s="4"/>
      <x:c r="B126" s="4"/>
      <x:c r="C126" s="4"/>
      <x:c r="D126" s="4"/>
      <x:c r="E126" s="4"/>
      <x:c r="F126" s="4"/>
      <x:c r="G126" s="4"/>
      <x:c r="H126" s="4"/>
      <x:c r="I126" s="4"/>
      <x:c r="J126" s="4"/>
      <x:c r="K126" s="4"/>
      <x:c r="L126" s="4"/>
      <x:c r="M126" s="4"/>
      <x:c r="N126" s="4"/>
      <x:c r="O126" s="4"/>
      <x:c r="P126" s="4"/>
    </x:row>
    <x:row r="127" ht="18.75" customHeight="1">
      <x:c r="A127" s="4"/>
      <x:c r="B127" s="4"/>
      <x:c r="C127" s="4"/>
      <x:c r="D127" s="4"/>
      <x:c r="E127" s="4"/>
      <x:c r="F127" s="4"/>
      <x:c r="G127" s="4"/>
      <x:c r="H127" s="4"/>
      <x:c r="I127" s="4"/>
      <x:c r="J127" s="4"/>
      <x:c r="K127" s="4"/>
      <x:c r="L127" s="4"/>
      <x:c r="M127" s="4"/>
      <x:c r="N127" s="4"/>
      <x:c r="O127" s="4"/>
      <x:c r="P127" s="4"/>
    </x:row>
    <x:row r="128" ht="18.75" customHeight="1">
      <x:c r="A128" s="4"/>
      <x:c r="B128" s="4"/>
      <x:c r="C128" s="4"/>
      <x:c r="D128" s="4"/>
      <x:c r="E128" s="4"/>
      <x:c r="F128" s="4"/>
      <x:c r="G128" s="4"/>
      <x:c r="H128" s="4"/>
      <x:c r="I128" s="4"/>
      <x:c r="J128" s="4"/>
      <x:c r="K128" s="4"/>
      <x:c r="L128" s="4"/>
      <x:c r="M128" s="4"/>
      <x:c r="N128" s="4"/>
      <x:c r="O128" s="4"/>
      <x:c r="P128" s="4"/>
    </x:row>
    <x:row r="129" ht="18.75" customHeight="1">
      <x:c r="A129" s="4"/>
      <x:c r="B129" s="4"/>
      <x:c r="C129" s="4"/>
      <x:c r="D129" s="4"/>
      <x:c r="E129" s="4"/>
      <x:c r="F129" s="4"/>
      <x:c r="G129" s="4"/>
      <x:c r="H129" s="4"/>
      <x:c r="I129" s="4"/>
      <x:c r="J129" s="4"/>
      <x:c r="K129" s="4"/>
      <x:c r="L129" s="4"/>
      <x:c r="M129" s="4"/>
      <x:c r="N129" s="4"/>
      <x:c r="O129" s="4"/>
      <x:c r="P129" s="4"/>
    </x:row>
    <x:row r="130" ht="18.75" customHeight="1">
      <x:c r="A130" s="4"/>
      <x:c r="B130" s="4"/>
      <x:c r="C130" s="4"/>
      <x:c r="D130" s="4"/>
      <x:c r="E130" s="4"/>
      <x:c r="F130" s="4"/>
      <x:c r="G130" s="4"/>
      <x:c r="H130" s="4"/>
      <x:c r="I130" s="4"/>
      <x:c r="J130" s="4"/>
      <x:c r="K130" s="4"/>
      <x:c r="L130" s="4"/>
      <x:c r="M130" s="4"/>
      <x:c r="N130" s="4"/>
      <x:c r="O130" s="4"/>
      <x:c r="P130" s="4"/>
    </x:row>
    <x:row r="131" ht="18.75" customHeight="1">
      <x:c r="A131" s="4"/>
      <x:c r="B131" s="4"/>
      <x:c r="C131" s="4"/>
      <x:c r="D131" s="4"/>
      <x:c r="E131" s="4"/>
      <x:c r="F131" s="4"/>
      <x:c r="G131" s="4"/>
      <x:c r="H131" s="4"/>
      <x:c r="I131" s="4"/>
      <x:c r="J131" s="4"/>
      <x:c r="K131" s="4"/>
      <x:c r="L131" s="4"/>
      <x:c r="M131" s="4"/>
      <x:c r="N131" s="4"/>
      <x:c r="O131" s="4"/>
      <x:c r="P131" s="4"/>
    </x:row>
    <x:row r="132" ht="18.75" customHeight="1">
      <x:c r="A132" s="4"/>
      <x:c r="B132" s="4"/>
      <x:c r="C132" s="4"/>
      <x:c r="D132" s="4"/>
      <x:c r="E132" s="4"/>
      <x:c r="F132" s="4"/>
      <x:c r="G132" s="4"/>
      <x:c r="H132" s="4"/>
      <x:c r="I132" s="4"/>
      <x:c r="J132" s="4"/>
      <x:c r="K132" s="4"/>
      <x:c r="L132" s="4"/>
      <x:c r="M132" s="4"/>
      <x:c r="N132" s="4"/>
      <x:c r="O132" s="4"/>
      <x:c r="P132" s="4"/>
    </x:row>
    <x:row r="133" ht="18.75" customHeight="1">
      <x:c r="A133" s="4"/>
      <x:c r="B133" s="4"/>
      <x:c r="C133" s="4"/>
      <x:c r="D133" s="4"/>
      <x:c r="E133" s="4"/>
      <x:c r="F133" s="4"/>
      <x:c r="G133" s="4"/>
      <x:c r="H133" s="4"/>
      <x:c r="I133" s="4"/>
      <x:c r="J133" s="4"/>
      <x:c r="K133" s="4"/>
      <x:c r="L133" s="4"/>
      <x:c r="M133" s="4"/>
      <x:c r="N133" s="4"/>
      <x:c r="O133" s="4"/>
      <x:c r="P133" s="4"/>
    </x:row>
    <x:row r="134" ht="18.75" customHeight="1">
      <x:c r="A134" s="4"/>
      <x:c r="B134" s="4"/>
      <x:c r="C134" s="4"/>
      <x:c r="D134" s="4"/>
      <x:c r="E134" s="4"/>
      <x:c r="F134" s="4"/>
      <x:c r="G134" s="4"/>
      <x:c r="H134" s="4"/>
      <x:c r="I134" s="4"/>
      <x:c r="J134" s="4"/>
      <x:c r="K134" s="4"/>
      <x:c r="L134" s="4"/>
      <x:c r="M134" s="4"/>
      <x:c r="N134" s="4"/>
      <x:c r="O134" s="4"/>
      <x:c r="P134" s="4"/>
    </x:row>
    <x:row r="135" ht="18.75" customHeight="1">
      <x:c r="A135" s="4"/>
      <x:c r="B135" s="4"/>
      <x:c r="C135" s="4"/>
      <x:c r="D135" s="4"/>
      <x:c r="E135" s="4"/>
      <x:c r="F135" s="4"/>
      <x:c r="G135" s="4"/>
      <x:c r="H135" s="4"/>
      <x:c r="I135" s="4"/>
      <x:c r="J135" s="4"/>
      <x:c r="K135" s="4"/>
      <x:c r="L135" s="4"/>
      <x:c r="M135" s="4"/>
      <x:c r="N135" s="4"/>
      <x:c r="O135" s="4"/>
      <x:c r="P135" s="4"/>
    </x:row>
    <x:row r="136" ht="18.75" customHeight="1">
      <x:c r="A136" s="4"/>
      <x:c r="B136" s="4"/>
      <x:c r="C136" s="4"/>
      <x:c r="D136" s="4"/>
      <x:c r="E136" s="4"/>
      <x:c r="F136" s="4"/>
      <x:c r="G136" s="4"/>
      <x:c r="H136" s="4"/>
      <x:c r="I136" s="4"/>
      <x:c r="J136" s="4"/>
      <x:c r="K136" s="4"/>
      <x:c r="L136" s="4"/>
      <x:c r="M136" s="4"/>
      <x:c r="N136" s="4"/>
      <x:c r="O136" s="4"/>
      <x:c r="P136" s="4"/>
    </x:row>
    <x:row r="137" ht="18.75" customHeight="1">
      <x:c r="A137" s="4"/>
      <x:c r="B137" s="4"/>
      <x:c r="C137" s="4"/>
      <x:c r="D137" s="4"/>
      <x:c r="E137" s="4"/>
      <x:c r="F137" s="4"/>
      <x:c r="G137" s="4"/>
      <x:c r="H137" s="4"/>
      <x:c r="I137" s="4"/>
      <x:c r="J137" s="4"/>
      <x:c r="K137" s="4"/>
      <x:c r="L137" s="4"/>
      <x:c r="M137" s="4"/>
      <x:c r="N137" s="4"/>
      <x:c r="O137" s="4"/>
      <x:c r="P137" s="4"/>
    </x:row>
    <x:row r="138" ht="18.75" customHeight="1">
      <x:c r="A138" s="4"/>
      <x:c r="B138" s="4"/>
      <x:c r="C138" s="4"/>
      <x:c r="D138" s="4"/>
      <x:c r="E138" s="4"/>
      <x:c r="F138" s="4"/>
      <x:c r="G138" s="4"/>
      <x:c r="H138" s="4"/>
      <x:c r="I138" s="4"/>
      <x:c r="J138" s="4"/>
      <x:c r="K138" s="4"/>
      <x:c r="L138" s="4"/>
      <x:c r="M138" s="4"/>
      <x:c r="N138" s="4"/>
      <x:c r="O138" s="4"/>
      <x:c r="P138" s="4"/>
    </x:row>
    <x:row r="139" ht="18.75" customHeight="1">
      <x:c r="A139" s="4"/>
      <x:c r="B139" s="4"/>
      <x:c r="C139" s="4"/>
      <x:c r="D139" s="4"/>
      <x:c r="E139" s="4"/>
      <x:c r="F139" s="4"/>
      <x:c r="G139" s="4"/>
      <x:c r="H139" s="4"/>
      <x:c r="I139" s="4"/>
      <x:c r="J139" s="4"/>
      <x:c r="K139" s="4"/>
      <x:c r="L139" s="4"/>
      <x:c r="M139" s="4"/>
      <x:c r="N139" s="4"/>
      <x:c r="O139" s="4"/>
      <x:c r="P139" s="4"/>
    </x:row>
    <x:row r="140" ht="18.75" customHeight="1">
      <x:c r="A140" s="4"/>
      <x:c r="B140" s="4"/>
      <x:c r="C140" s="4"/>
      <x:c r="D140" s="4"/>
      <x:c r="E140" s="4"/>
      <x:c r="F140" s="4"/>
      <x:c r="G140" s="4"/>
      <x:c r="H140" s="4"/>
      <x:c r="I140" s="4"/>
      <x:c r="J140" s="4"/>
      <x:c r="K140" s="4"/>
      <x:c r="L140" s="4"/>
      <x:c r="M140" s="4"/>
      <x:c r="N140" s="4"/>
      <x:c r="O140" s="4"/>
      <x:c r="P140" s="4"/>
    </x:row>
    <x:row r="141" ht="18.75" customHeight="1">
      <x:c r="A141" s="4"/>
      <x:c r="B141" s="4"/>
      <x:c r="C141" s="4"/>
      <x:c r="D141" s="4"/>
      <x:c r="E141" s="4"/>
      <x:c r="F141" s="4"/>
      <x:c r="G141" s="4"/>
      <x:c r="H141" s="4"/>
      <x:c r="I141" s="4"/>
      <x:c r="J141" s="4"/>
      <x:c r="K141" s="4"/>
      <x:c r="L141" s="4"/>
      <x:c r="M141" s="4"/>
      <x:c r="N141" s="4"/>
      <x:c r="O141" s="4"/>
      <x:c r="P141" s="4"/>
    </x:row>
    <x:row r="142" ht="18.75" customHeight="1">
      <x:c r="A142" s="4"/>
      <x:c r="B142" s="4"/>
      <x:c r="C142" s="4"/>
      <x:c r="D142" s="4"/>
      <x:c r="E142" s="4"/>
      <x:c r="F142" s="4"/>
      <x:c r="G142" s="4"/>
      <x:c r="H142" s="4"/>
      <x:c r="I142" s="4"/>
      <x:c r="J142" s="4"/>
      <x:c r="K142" s="4"/>
      <x:c r="L142" s="4"/>
      <x:c r="M142" s="4"/>
      <x:c r="N142" s="4"/>
      <x:c r="O142" s="4"/>
      <x:c r="P142" s="4"/>
    </x:row>
    <x:row r="143" ht="18.75" customHeight="1">
      <x:c r="A143" s="4"/>
      <x:c r="B143" s="4"/>
      <x:c r="C143" s="4"/>
      <x:c r="D143" s="4"/>
      <x:c r="E143" s="4"/>
      <x:c r="F143" s="4"/>
      <x:c r="G143" s="4"/>
      <x:c r="H143" s="4"/>
      <x:c r="I143" s="4"/>
      <x:c r="J143" s="4"/>
      <x:c r="K143" s="4"/>
      <x:c r="L143" s="4"/>
      <x:c r="M143" s="4"/>
      <x:c r="N143" s="4"/>
      <x:c r="O143" s="4"/>
      <x:c r="P143" s="4"/>
    </x:row>
    <x:row r="144" ht="18.75" customHeight="1">
      <x:c r="A144" s="13" t="str">
        <x:v>На карте все 73 объекта. Для плотных групп есть увеличенные фрагменты. Координаты — ориентир объекта/района, не гарантия правильного въезда; в «Отзывах» подписаны парковки, территория и точки, требующие проверки. Основа: © OpenStreetMap contributors, ODbL.</x:v>
      </x:c>
      <x:c r="B144" s="13" t="str">
        <x:v>На карте все 73 объекта. Для плотных групп есть увеличенные фрагменты. Координаты — ориентир объекта/района, не гарантия правильного въезда; в «Отзывах» подписаны парковки, территория и точки, требующие проверки. Основа: © OpenStreetMap contributors, ODbL.</x:v>
      </x:c>
      <x:c r="C144" s="13" t="str">
        <x:v>На карте все 73 объекта. Для плотных групп есть увеличенные фрагменты. Координаты — ориентир объекта/района, не гарантия правильного въезда; в «Отзывах» подписаны парковки, территория и точки, требующие проверки. Основа: © OpenStreetMap contributors, ODbL.</x:v>
      </x:c>
      <x:c r="D144" s="13" t="str">
        <x:v>На карте все 73 объекта. Для плотных групп есть увеличенные фрагменты. Координаты — ориентир объекта/района, не гарантия правильного въезда; в «Отзывах» подписаны парковки, территория и точки, требующие проверки. Основа: © OpenStreetMap contributors, ODbL.</x:v>
      </x:c>
      <x:c r="E144" s="13" t="str">
        <x:v>На карте все 73 объекта. Для плотных групп есть увеличенные фрагменты. Координаты — ориентир объекта/района, не гарантия правильного въезда; в «Отзывах» подписаны парковки, территория и точки, требующие проверки. Основа: © OpenStreetMap contributors, ODbL.</x:v>
      </x:c>
      <x:c r="F144" s="13" t="str">
        <x:v>На карте все 73 объекта. Для плотных групп есть увеличенные фрагменты. Координаты — ориентир объекта/района, не гарантия правильного въезда; в «Отзывах» подписаны парковки, территория и точки, требующие проверки. Основа: © OpenStreetMap contributors, ODbL.</x:v>
      </x:c>
      <x:c r="G144" s="13" t="str">
        <x:v>На карте все 73 объекта. Для плотных групп есть увеличенные фрагменты. Координаты — ориентир объекта/района, не гарантия правильного въезда; в «Отзывах» подписаны парковки, территория и точки, требующие проверки. Основа: © OpenStreetMap contributors, ODbL.</x:v>
      </x:c>
      <x:c r="H144" s="13" t="str">
        <x:v>На карте все 73 объекта. Для плотных групп есть увеличенные фрагменты. Координаты — ориентир объекта/района, не гарантия правильного въезда; в «Отзывах» подписаны парковки, территория и точки, требующие проверки. Основа: © OpenStreetMap contributors, ODbL.</x:v>
      </x:c>
      <x:c r="I144" s="13" t="str">
        <x:v>На карте все 73 объекта. Для плотных групп есть увеличенные фрагменты. Координаты — ориентир объекта/района, не гарантия правильного въезда; в «Отзывах» подписаны парковки, территория и точки, требующие проверки. Основа: © OpenStreetMap contributors, ODbL.</x:v>
      </x:c>
      <x:c r="J144" s="13" t="str">
        <x:v>На карте все 73 объекта. Для плотных групп есть увеличенные фрагменты. Координаты — ориентир объекта/района, не гарантия правильного въезда; в «Отзывах» подписаны парковки, территория и точки, требующие проверки. Основа: © OpenStreetMap contributors, ODbL.</x:v>
      </x:c>
      <x:c r="K144" s="13" t="str">
        <x:v>На карте все 73 объекта. Для плотных групп есть увеличенные фрагменты. Координаты — ориентир объекта/района, не гарантия правильного въезда; в «Отзывах» подписаны парковки, территория и точки, требующие проверки. Основа: © OpenStreetMap contributors, ODbL.</x:v>
      </x:c>
      <x:c r="L144" s="13" t="str">
        <x:v>На карте все 73 объекта. Для плотных групп есть увеличенные фрагменты. Координаты — ориентир объекта/района, не гарантия правильного въезда; в «Отзывах» подписаны парковки, территория и точки, требующие проверки. Основа: © OpenStreetMap contributors, ODbL.</x:v>
      </x:c>
      <x:c r="M144" s="13" t="str">
        <x:v>На карте все 73 объекта. Для плотных групп есть увеличенные фрагменты. Координаты — ориентир объекта/района, не гарантия правильного въезда; в «Отзывах» подписаны парковки, территория и точки, требующие проверки. Основа: © OpenStreetMap contributors, ODbL.</x:v>
      </x:c>
      <x:c r="N144" s="13" t="str">
        <x:v>На карте все 73 объекта. Для плотных групп есть увеличенные фрагменты. Координаты — ориентир объекта/района, не гарантия правильного въезда; в «Отзывах» подписаны парковки, территория и точки, требующие проверки. Основа: © OpenStreetMap contributors, ODbL.</x:v>
      </x:c>
      <x:c r="O144" s="13" t="str">
        <x:v>На карте все 73 объекта. Для плотных групп есть увеличенные фрагменты. Координаты — ориентир объекта/района, не гарантия правильного въезда; в «Отзывах» подписаны парковки, территория и точки, требующие проверки. Основа: © OpenStreetMap contributors, ODbL.</x:v>
      </x:c>
      <x:c r="P144" s="13" t="str">
        <x:v>На карте все 73 объекта. Для плотных групп есть увеличенные фрагменты. Координаты — ориентир объекта/района, не гарантия правильного въезда; в «Отзывах» подписаны парковки, территория и точки, требующие проверки. Основа: © OpenStreetMap contributors, ODbL.</x:v>
      </x:c>
    </x:row>
    <x:row r="145" ht="18.75" customHeight="1">
      <x:c r="A145" s="13" t="str">
        <x:v>На карте все 73 объекта. Для плотных групп есть увеличенные фрагменты. Координаты — ориентир объекта/района, не гарантия правильного въезда; в «Отзывах» подписаны парковки, территория и точки, требующие проверки. Основа: © OpenStreetMap contributors, ODbL.</x:v>
      </x:c>
      <x:c r="B145" s="13" t="str">
        <x:v>На карте все 73 объекта. Для плотных групп есть увеличенные фрагменты. Координаты — ориентир объекта/района, не гарантия правильного въезда; в «Отзывах» подписаны парковки, территория и точки, требующие проверки. Основа: © OpenStreetMap contributors, ODbL.</x:v>
      </x:c>
      <x:c r="C145" s="13" t="str">
        <x:v>На карте все 73 объекта. Для плотных групп есть увеличенные фрагменты. Координаты — ориентир объекта/района, не гарантия правильного въезда; в «Отзывах» подписаны парковки, территория и точки, требующие проверки. Основа: © OpenStreetMap contributors, ODbL.</x:v>
      </x:c>
      <x:c r="D145" s="13" t="str">
        <x:v>На карте все 73 объекта. Для плотных групп есть увеличенные фрагменты. Координаты — ориентир объекта/района, не гарантия правильного въезда; в «Отзывах» подписаны парковки, территория и точки, требующие проверки. Основа: © OpenStreetMap contributors, ODbL.</x:v>
      </x:c>
      <x:c r="E145" s="13" t="str">
        <x:v>На карте все 73 объекта. Для плотных групп есть увеличенные фрагменты. Координаты — ориентир объекта/района, не гарантия правильного въезда; в «Отзывах» подписаны парковки, территория и точки, требующие проверки. Основа: © OpenStreetMap contributors, ODbL.</x:v>
      </x:c>
      <x:c r="F145" s="13" t="str">
        <x:v>На карте все 73 объекта. Для плотных групп есть увеличенные фрагменты. Координаты — ориентир объекта/района, не гарантия правильного въезда; в «Отзывах» подписаны парковки, территория и точки, требующие проверки. Основа: © OpenStreetMap contributors, ODbL.</x:v>
      </x:c>
      <x:c r="G145" s="13" t="str">
        <x:v>На карте все 73 объекта. Для плотных групп есть увеличенные фрагменты. Координаты — ориентир объекта/района, не гарантия правильного въезда; в «Отзывах» подписаны парковки, территория и точки, требующие проверки. Основа: © OpenStreetMap contributors, ODbL.</x:v>
      </x:c>
      <x:c r="H145" s="13" t="str">
        <x:v>На карте все 73 объекта. Для плотных групп есть увеличенные фрагменты. Координаты — ориентир объекта/района, не гарантия правильного въезда; в «Отзывах» подписаны парковки, территория и точки, требующие проверки. Основа: © OpenStreetMap contributors, ODbL.</x:v>
      </x:c>
      <x:c r="I145" s="13" t="str">
        <x:v>На карте все 73 объекта. Для плотных групп есть увеличенные фрагменты. Координаты — ориентир объекта/района, не гарантия правильного въезда; в «Отзывах» подписаны парковки, территория и точки, требующие проверки. Основа: © OpenStreetMap contributors, ODbL.</x:v>
      </x:c>
      <x:c r="J145" s="13" t="str">
        <x:v>На карте все 73 объекта. Для плотных групп есть увеличенные фрагменты. Координаты — ориентир объекта/района, не гарантия правильного въезда; в «Отзывах» подписаны парковки, территория и точки, требующие проверки. Основа: © OpenStreetMap contributors, ODbL.</x:v>
      </x:c>
      <x:c r="K145" s="13" t="str">
        <x:v>На карте все 73 объекта. Для плотных групп есть увеличенные фрагменты. Координаты — ориентир объекта/района, не гарантия правильного въезда; в «Отзывах» подписаны парковки, территория и точки, требующие проверки. Основа: © OpenStreetMap contributors, ODbL.</x:v>
      </x:c>
      <x:c r="L145" s="13" t="str">
        <x:v>На карте все 73 объекта. Для плотных групп есть увеличенные фрагменты. Координаты — ориентир объекта/района, не гарантия правильного въезда; в «Отзывах» подписаны парковки, территория и точки, требующие проверки. Основа: © OpenStreetMap contributors, ODbL.</x:v>
      </x:c>
      <x:c r="M145" s="13" t="str">
        <x:v>На карте все 73 объекта. Для плотных групп есть увеличенные фрагменты. Координаты — ориентир объекта/района, не гарантия правильного въезда; в «Отзывах» подписаны парковки, территория и точки, требующие проверки. Основа: © OpenStreetMap contributors, ODbL.</x:v>
      </x:c>
      <x:c r="N145" s="13" t="str">
        <x:v>На карте все 73 объекта. Для плотных групп есть увеличенные фрагменты. Координаты — ориентир объекта/района, не гарантия правильного въезда; в «Отзывах» подписаны парковки, территория и точки, требующие проверки. Основа: © OpenStreetMap contributors, ODbL.</x:v>
      </x:c>
      <x:c r="O145" s="13" t="str">
        <x:v>На карте все 73 объекта. Для плотных групп есть увеличенные фрагменты. Координаты — ориентир объекта/района, не гарантия правильного въезда; в «Отзывах» подписаны парковки, территория и точки, требующие проверки. Основа: © OpenStreetMap contributors, ODbL.</x:v>
      </x:c>
      <x:c r="P145" s="13" t="str">
        <x:v>На карте все 73 объекта. Для плотных групп есть увеличенные фрагменты. Координаты — ориентир объекта/района, не гарантия правильного въезда; в «Отзывах» подписаны парковки, территория и точки, требующие проверки. Основа: © OpenStreetMap contributors, ODbL.</x:v>
      </x:c>
    </x:row>
    <x:row r="146" ht="18.75" customHeight="1">
      <x:c r="A146" s="13" t="str">
        <x:v>На карте все 73 объекта. Для плотных групп есть увеличенные фрагменты. Координаты — ориентир объекта/района, не гарантия правильного въезда; в «Отзывах» подписаны парковки, территория и точки, требующие проверки. Основа: © OpenStreetMap contributors, ODbL.</x:v>
      </x:c>
      <x:c r="B146" s="13" t="str">
        <x:v>На карте все 73 объекта. Для плотных групп есть увеличенные фрагменты. Координаты — ориентир объекта/района, не гарантия правильного въезда; в «Отзывах» подписаны парковки, территория и точки, требующие проверки. Основа: © OpenStreetMap contributors, ODbL.</x:v>
      </x:c>
      <x:c r="C146" s="13" t="str">
        <x:v>На карте все 73 объекта. Для плотных групп есть увеличенные фрагменты. Координаты — ориентир объекта/района, не гарантия правильного въезда; в «Отзывах» подписаны парковки, территория и точки, требующие проверки. Основа: © OpenStreetMap contributors, ODbL.</x:v>
      </x:c>
      <x:c r="D146" s="13" t="str">
        <x:v>На карте все 73 объекта. Для плотных групп есть увеличенные фрагменты. Координаты — ориентир объекта/района, не гарантия правильного въезда; в «Отзывах» подписаны парковки, территория и точки, требующие проверки. Основа: © OpenStreetMap contributors, ODbL.</x:v>
      </x:c>
      <x:c r="E146" s="13" t="str">
        <x:v>На карте все 73 объекта. Для плотных групп есть увеличенные фрагменты. Координаты — ориентир объекта/района, не гарантия правильного въезда; в «Отзывах» подписаны парковки, территория и точки, требующие проверки. Основа: © OpenStreetMap contributors, ODbL.</x:v>
      </x:c>
      <x:c r="F146" s="13" t="str">
        <x:v>На карте все 73 объекта. Для плотных групп есть увеличенные фрагменты. Координаты — ориентир объекта/района, не гарантия правильного въезда; в «Отзывах» подписаны парковки, территория и точки, требующие проверки. Основа: © OpenStreetMap contributors, ODbL.</x:v>
      </x:c>
      <x:c r="G146" s="13" t="str">
        <x:v>На карте все 73 объекта. Для плотных групп есть увеличенные фрагменты. Координаты — ориентир объекта/района, не гарантия правильного въезда; в «Отзывах» подписаны парковки, территория и точки, требующие проверки. Основа: © OpenStreetMap contributors, ODbL.</x:v>
      </x:c>
      <x:c r="H146" s="13" t="str">
        <x:v>На карте все 73 объекта. Для плотных групп есть увеличенные фрагменты. Координаты — ориентир объекта/района, не гарантия правильного въезда; в «Отзывах» подписаны парковки, территория и точки, требующие проверки. Основа: © OpenStreetMap contributors, ODbL.</x:v>
      </x:c>
      <x:c r="I146" s="13" t="str">
        <x:v>На карте все 73 объекта. Для плотных групп есть увеличенные фрагменты. Координаты — ориентир объекта/района, не гарантия правильного въезда; в «Отзывах» подписаны парковки, территория и точки, требующие проверки. Основа: © OpenStreetMap contributors, ODbL.</x:v>
      </x:c>
      <x:c r="J146" s="13" t="str">
        <x:v>На карте все 73 объекта. Для плотных групп есть увеличенные фрагменты. Координаты — ориентир объекта/района, не гарантия правильного въезда; в «Отзывах» подписаны парковки, территория и точки, требующие проверки. Основа: © OpenStreetMap contributors, ODbL.</x:v>
      </x:c>
      <x:c r="K146" s="13" t="str">
        <x:v>На карте все 73 объекта. Для плотных групп есть увеличенные фрагменты. Координаты — ориентир объекта/района, не гарантия правильного въезда; в «Отзывах» подписаны парковки, территория и точки, требующие проверки. Основа: © OpenStreetMap contributors, ODbL.</x:v>
      </x:c>
      <x:c r="L146" s="13" t="str">
        <x:v>На карте все 73 объекта. Для плотных групп есть увеличенные фрагменты. Координаты — ориентир объекта/района, не гарантия правильного въезда; в «Отзывах» подписаны парковки, территория и точки, требующие проверки. Основа: © OpenStreetMap contributors, ODbL.</x:v>
      </x:c>
      <x:c r="M146" s="13" t="str">
        <x:v>На карте все 73 объекта. Для плотных групп есть увеличенные фрагменты. Координаты — ориентир объекта/района, не гарантия правильного въезда; в «Отзывах» подписаны парковки, территория и точки, требующие проверки. Основа: © OpenStreetMap contributors, ODbL.</x:v>
      </x:c>
      <x:c r="N146" s="13" t="str">
        <x:v>На карте все 73 объекта. Для плотных групп есть увеличенные фрагменты. Координаты — ориентир объекта/района, не гарантия правильного въезда; в «Отзывах» подписаны парковки, территория и точки, требующие проверки. Основа: © OpenStreetMap contributors, ODbL.</x:v>
      </x:c>
      <x:c r="O146" s="13" t="str">
        <x:v>На карте все 73 объекта. Для плотных групп есть увеличенные фрагменты. Координаты — ориентир объекта/района, не гарантия правильного въезда; в «Отзывах» подписаны парковки, территория и точки, требующие проверки. Основа: © OpenStreetMap contributors, ODbL.</x:v>
      </x:c>
      <x:c r="P146" s="13" t="str">
        <x:v>На карте все 73 объекта. Для плотных групп есть увеличенные фрагменты. Координаты — ориентир объекта/района, не гарантия правильного въезда; в «Отзывах» подписаны парковки, территория и точки, требующие проверки. Основа: © OpenStreetMap contributors, ODbL.</x:v>
      </x:c>
    </x:row>
    <x:row r="147" ht="18.75" customHeight="1">
      <x:c r="A147" s="4"/>
      <x:c r="B147" s="4"/>
      <x:c r="C147" s="4"/>
      <x:c r="D147" s="4"/>
      <x:c r="E147" s="4"/>
      <x:c r="F147" s="4"/>
      <x:c r="G147" s="4"/>
      <x:c r="H147" s="4"/>
      <x:c r="I147" s="4"/>
      <x:c r="J147" s="4"/>
      <x:c r="K147" s="4"/>
      <x:c r="L147" s="4"/>
      <x:c r="M147" s="4"/>
      <x:c r="N147" s="4"/>
      <x:c r="O147" s="4"/>
      <x:c r="P147" s="4"/>
    </x:row>
    <x:row r="148" ht="18.75" customHeight="1">
      <x:c r="A148" s="8" t="str">
        <x:f>HYPERLINK("#'Места'!A1","Наверх ↑")</x:f>
        <x:v>Наверх ↑</x:v>
      </x:c>
      <x:c r="B148" s="4"/>
      <x:c r="C148" s="4"/>
      <x:c r="D148" s="8" t="str">
        <x:f>HYPERLINK("https://www.openstreetmap.org/copyright","OpenStreetMap / лицензия")</x:f>
        <x:v>OpenStreetMap / лицензия</x:v>
      </x:c>
      <x:c r="E148" s="4"/>
      <x:c r="F148" s="4"/>
      <x:c r="G148" s="4"/>
      <x:c r="H148" s="4"/>
      <x:c r="I148" s="4"/>
      <x:c r="J148" s="4"/>
      <x:c r="K148" s="4"/>
      <x:c r="L148" s="4"/>
      <x:c r="M148" s="4"/>
      <x:c r="N148" s="4"/>
      <x:c r="O148" s="4"/>
      <x:c r="P148" s="4"/>
    </x:row>
    <x:row r="149" ht="18.75" customHeight="1">
      <x:c r="A149" s="4"/>
      <x:c r="B149" s="4"/>
      <x:c r="C149" s="4"/>
      <x:c r="D149" s="4"/>
      <x:c r="E149" s="4"/>
      <x:c r="F149" s="4"/>
      <x:c r="G149" s="4"/>
      <x:c r="H149" s="4"/>
      <x:c r="I149" s="4"/>
      <x:c r="J149" s="4"/>
      <x:c r="K149" s="4"/>
      <x:c r="L149" s="4"/>
      <x:c r="M149" s="4"/>
      <x:c r="N149" s="4"/>
      <x:c r="O149" s="4"/>
      <x:c r="P149" s="4"/>
    </x:row>
    <x:row r="150" ht="18.75" customHeight="1">
      <x:c r="A150" s="4"/>
      <x:c r="B150" s="4"/>
      <x:c r="C150" s="4"/>
      <x:c r="D150" s="4"/>
      <x:c r="E150" s="4"/>
      <x:c r="F150" s="4"/>
      <x:c r="G150" s="4"/>
      <x:c r="H150" s="4"/>
      <x:c r="I150" s="4"/>
      <x:c r="J150" s="4"/>
      <x:c r="K150" s="4"/>
      <x:c r="L150" s="4"/>
      <x:c r="M150" s="4"/>
      <x:c r="N150" s="4"/>
      <x:c r="O150" s="4"/>
      <x:c r="P150" s="4"/>
    </x:row>
    <x:row r="151" ht="18.75" customHeight="1">
      <x:c r="A151" s="4"/>
      <x:c r="B151" s="4"/>
      <x:c r="C151" s="4"/>
      <x:c r="D151" s="4"/>
      <x:c r="E151" s="4"/>
      <x:c r="F151" s="4"/>
      <x:c r="G151" s="4"/>
      <x:c r="H151" s="4"/>
      <x:c r="I151" s="4"/>
      <x:c r="J151" s="4"/>
      <x:c r="K151" s="4"/>
      <x:c r="L151" s="4"/>
      <x:c r="M151" s="4"/>
      <x:c r="N151" s="4"/>
      <x:c r="O151" s="4"/>
      <x:c r="P151" s="4"/>
    </x:row>
    <x:row r="152" ht="18.75" customHeight="1">
      <x:c r="A152" s="4"/>
      <x:c r="B152" s="4"/>
      <x:c r="C152" s="4"/>
      <x:c r="D152" s="4"/>
      <x:c r="E152" s="4"/>
      <x:c r="F152" s="4"/>
      <x:c r="G152" s="4"/>
      <x:c r="H152" s="4"/>
      <x:c r="I152" s="4"/>
      <x:c r="J152" s="4"/>
      <x:c r="K152" s="4"/>
      <x:c r="L152" s="4"/>
      <x:c r="M152" s="4"/>
      <x:c r="N152" s="4"/>
      <x:c r="O152" s="4"/>
      <x:c r="P152" s="4"/>
    </x:row>
    <x:row r="153" ht="18.75" customHeight="1">
      <x:c r="A153" s="4"/>
      <x:c r="B153" s="4"/>
      <x:c r="C153" s="4"/>
      <x:c r="D153" s="4"/>
      <x:c r="E153" s="4"/>
      <x:c r="F153" s="4"/>
      <x:c r="G153" s="4"/>
      <x:c r="H153" s="4"/>
      <x:c r="I153" s="4"/>
      <x:c r="J153" s="4"/>
      <x:c r="K153" s="4"/>
      <x:c r="L153" s="4"/>
      <x:c r="M153" s="4"/>
      <x:c r="N153" s="4"/>
      <x:c r="O153" s="4"/>
      <x:c r="P153" s="4"/>
    </x:row>
    <x:row r="154" ht="18.75" customHeight="1">
      <x:c r="A154" s="4"/>
      <x:c r="B154" s="4"/>
      <x:c r="C154" s="4"/>
      <x:c r="D154" s="4"/>
      <x:c r="E154" s="4"/>
      <x:c r="F154" s="4"/>
      <x:c r="G154" s="4"/>
      <x:c r="H154" s="4"/>
      <x:c r="I154" s="4"/>
      <x:c r="J154" s="4"/>
      <x:c r="K154" s="4"/>
      <x:c r="L154" s="4"/>
      <x:c r="M154" s="4"/>
      <x:c r="N154" s="4"/>
      <x:c r="O154" s="4"/>
      <x:c r="P154" s="4"/>
    </x:row>
  </x:sheetData>
  <x:mergeCells>
    <x:mergeCell ref="A1:K2"/>
    <x:mergeCell ref="A3:P4"/>
    <x:mergeCell ref="A8:P8"/>
    <x:mergeCell ref="A86:P87"/>
    <x:mergeCell ref="A144:P146"/>
  </x:mergeCells>
  <x:conditionalFormatting sqref="P11:P83">
    <x:cfRule type="containsText" dxfId="0" priority="1" operator="containsText" text="В план"/>
  </x:conditionalFormatting>
  <x:conditionalFormatting sqref="I11:I83">
    <x:cfRule type="containsText" dxfId="1" priority="2" operator="containsText" text="Неочевидное"/>
  </x:conditionalFormatting>
  <x:conditionalFormatting sqref="K11:K83">
    <x:cfRule type="containsText" dxfId="2" priority="3" operator="containsText" text="Сложно"/>
  </x:conditionalFormatting>
  <x:dataValidations count="1">
    <x:dataValidation type="list" sqref="P11:P83">
      <x:formula1>"Хочу,В план,Посетил,Пропустить"</x:formula1>
    </x:dataValidation>
  </x:dataValidations>
  <x:pageMargins left="0.7" right="0.7" top="0.75" bottom="0.75" header="0.3" footer="0.3"/>
  <x:drawing xmlns:r="http://schemas.openxmlformats.org/officeDocument/2006/relationships" r:id="Rd95df1e9d64e49f0"/>
  <x:legacyDrawing xmlns:r="http://schemas.openxmlformats.org/officeDocument/2006/relationships" r:id="Rf728ee507715403a"/>
  <x:tableParts count="1">
    <x:tablePart xmlns:r="http://schemas.openxmlformats.org/officeDocument/2006/relationships" r:id="R5e7fbdc186d14f81"/>
  </x:tableParts>
</x:worksheet>
</file>

<file path=xl/worksheets/sheet3.xml><?xml version="1.0" encoding="utf-8"?>
<x:worksheet xmlns:x="http://schemas.openxmlformats.org/spreadsheetml/2006/main">
  <x:sheetPr>
    <x:tabColor rgb="FF24665C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5" hidden="0" customWidth="1"/>
    <x:col min="2" max="2" width="25" hidden="0" customWidth="1"/>
    <x:col min="3" max="3" width="15" hidden="0" customWidth="1"/>
    <x:col min="4" max="4" width="37.779998779296875" hidden="0" customWidth="1"/>
    <x:col min="5" max="5" width="41.66999816894531" hidden="0" customWidth="1"/>
    <x:col min="6" max="6" width="41.66999816894531" hidden="0" customWidth="1"/>
    <x:col min="7" max="7" width="11.670000076293945" hidden="0" customWidth="1"/>
    <x:col min="8" max="8" width="11.670000076293945" hidden="0" customWidth="1"/>
    <x:col min="9" max="9" width="12.4399995803833" hidden="0" customWidth="1"/>
    <x:col min="10" max="10" width="11.670000076293945" hidden="0" customWidth="1"/>
    <x:col min="11" max="11" width="11.670000076293945" hidden="0" customWidth="1"/>
    <x:col min="12" max="12" width="25.559999465942383" hidden="0" customWidth="1"/>
    <x:col min="13" max="13" width="11.109999656677246" hidden="0" customWidth="1"/>
    <x:col min="14" max="14" width="11.109999656677246" hidden="0" customWidth="1"/>
    <x:col min="15" max="15" width="13.329999923706055" hidden="0" customWidth="1"/>
    <x:col min="16" max="16" width="24.440000534057617" hidden="0" customWidth="1"/>
    <x:col min="17" max="17" width="11.109999656677246" hidden="0" customWidth="1"/>
  </x:cols>
  <x:sheetData>
    <x:row r="1" ht="18.75" customHeight="1">
      <x:c r="A1" s="12" t="str">
        <x:v>ОТЗЫВЫ, ОГОВОРКИ И ИСТОЧНИКИ</x:v>
      </x:c>
      <x:c r="B1" s="12" t="str">
        <x:v>ОТЗЫВЫ, ОГОВОРКИ И ИСТОЧНИКИ</x:v>
      </x:c>
      <x:c r="C1" s="12" t="str">
        <x:v>ОТЗЫВЫ, ОГОВОРКИ И ИСТОЧНИКИ</x:v>
      </x:c>
      <x:c r="D1" s="12" t="str">
        <x:v>ОТЗЫВЫ, ОГОВОРКИ И ИСТОЧНИКИ</x:v>
      </x:c>
      <x:c r="E1" s="12" t="str">
        <x:v>ОТЗЫВЫ, ОГОВОРКИ И ИСТОЧНИКИ</x:v>
      </x:c>
      <x:c r="F1" s="12" t="str">
        <x:v>ОТЗЫВЫ, ОГОВОРКИ И ИСТОЧНИКИ</x:v>
      </x:c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</x:row>
    <x:row r="2" ht="18.75" customHeight="1">
      <x:c r="A2" s="12" t="str">
        <x:v>ОТЗЫВЫ, ОГОВОРКИ И ИСТОЧНИКИ</x:v>
      </x:c>
      <x:c r="B2" s="12" t="str">
        <x:v>ОТЗЫВЫ, ОГОВОРКИ И ИСТОЧНИКИ</x:v>
      </x:c>
      <x:c r="C2" s="12" t="str">
        <x:v>ОТЗЫВЫ, ОГОВОРКИ И ИСТОЧНИКИ</x:v>
      </x:c>
      <x:c r="D2" s="12" t="str">
        <x:v>ОТЗЫВЫ, ОГОВОРКИ И ИСТОЧНИКИ</x:v>
      </x:c>
      <x:c r="E2" s="12" t="str">
        <x:v>ОТЗЫВЫ, ОГОВОРКИ И ИСТОЧНИКИ</x:v>
      </x:c>
      <x:c r="F2" s="12" t="str">
        <x:v>ОТЗЫВЫ, ОГОВОРКИ И ИСТОЧНИКИ</x:v>
      </x:c>
      <x:c r="G2" s="4"/>
      <x:c r="H2" s="4"/>
      <x:c r="I2" s="4"/>
      <x:c r="J2" s="4"/>
      <x:c r="K2" s="4"/>
      <x:c r="L2" s="4"/>
      <x:c r="M2" s="4"/>
      <x:c r="N2" s="4"/>
      <x:c r="O2" s="4"/>
      <x:c r="P2" s="4"/>
      <x:c r="Q2" s="4"/>
    </x:row>
    <x:row r="3" ht="18.75" customHeight="1">
      <x:c r="A3" s="13" t="str">
        <x:v>Краткие пересказы на русском. Мнение автора не является подтверждённым фактом. Даты — визит/публикация, как указано; старые и коммерческие отзывы подписаны. Ссылки ведут к оригинальным страницам.</x:v>
      </x:c>
      <x:c r="B3" s="13" t="str">
        <x:v>Краткие пересказы на русском. Мнение автора не является подтверждённым фактом. Даты — визит/публикация, как указано; старые и коммерческие отзывы подписаны. Ссылки ведут к оригинальным страницам.</x:v>
      </x:c>
      <x:c r="C3" s="13" t="str">
        <x:v>Краткие пересказы на русском. Мнение автора не является подтверждённым фактом. Даты — визит/публикация, как указано; старые и коммерческие отзывы подписаны. Ссылки ведут к оригинальным страницам.</x:v>
      </x:c>
      <x:c r="D3" s="13" t="str">
        <x:v>Краткие пересказы на русском. Мнение автора не является подтверждённым фактом. Даты — визит/публикация, как указано; старые и коммерческие отзывы подписаны. Ссылки ведут к оригинальным страницам.</x:v>
      </x:c>
      <x:c r="E3" s="13" t="str">
        <x:v>Краткие пересказы на русском. Мнение автора не является подтверждённым фактом. Даты — визит/публикация, как указано; старые и коммерческие отзывы подписаны. Ссылки ведут к оригинальным страницам.</x:v>
      </x:c>
      <x:c r="F3" s="13" t="str">
        <x:v>Краткие пересказы на русском. Мнение автора не является подтверждённым фактом. Даты — визит/публикация, как указано; старые и коммерческие отзывы подписаны. Ссылки ведут к оригинальным страницам.</x:v>
      </x:c>
      <x:c r="G3" s="13" t="str">
        <x:v>Краткие пересказы на русском. Мнение автора не является подтверждённым фактом. Даты — визит/публикация, как указано; старые и коммерческие отзывы подписаны. Ссылки ведут к оригинальным страницам.</x:v>
      </x:c>
      <x:c r="H3" s="13" t="str">
        <x:v>Краткие пересказы на русском. Мнение автора не является подтверждённым фактом. Даты — визит/публикация, как указано; старые и коммерческие отзывы подписаны. Ссылки ведут к оригинальным страницам.</x:v>
      </x:c>
      <x:c r="I3" s="13" t="str">
        <x:v>Краткие пересказы на русском. Мнение автора не является подтверждённым фактом. Даты — визит/публикация, как указано; старые и коммерческие отзывы подписаны. Ссылки ведут к оригинальным страницам.</x:v>
      </x:c>
      <x:c r="J3" s="13" t="str">
        <x:v>Краткие пересказы на русском. Мнение автора не является подтверждённым фактом. Даты — визит/публикация, как указано; старые и коммерческие отзывы подписаны. Ссылки ведут к оригинальным страницам.</x:v>
      </x:c>
      <x:c r="K3" s="13" t="str">
        <x:v>Краткие пересказы на русском. Мнение автора не является подтверждённым фактом. Даты — визит/публикация, как указано; старые и коммерческие отзывы подписаны. Ссылки ведут к оригинальным страницам.</x:v>
      </x:c>
      <x:c r="L3" s="13" t="str">
        <x:v>Краткие пересказы на русском. Мнение автора не является подтверждённым фактом. Даты — визит/публикация, как указано; старые и коммерческие отзывы подписаны. Ссылки ведут к оригинальным страницам.</x:v>
      </x:c>
      <x:c r="M3" s="13" t="str">
        <x:v>Краткие пересказы на русском. Мнение автора не является подтверждённым фактом. Даты — визит/публикация, как указано; старые и коммерческие отзывы подписаны. Ссылки ведут к оригинальным страницам.</x:v>
      </x:c>
      <x:c r="N3" s="13" t="str">
        <x:v>Краткие пересказы на русском. Мнение автора не является подтверждённым фактом. Даты — визит/публикация, как указано; старые и коммерческие отзывы подписаны. Ссылки ведут к оригинальным страницам.</x:v>
      </x:c>
      <x:c r="O3" s="13" t="str">
        <x:v>Краткие пересказы на русском. Мнение автора не является подтверждённым фактом. Даты — визит/публикация, как указано; старые и коммерческие отзывы подписаны. Ссылки ведут к оригинальным страницам.</x:v>
      </x:c>
      <x:c r="P3" s="13" t="str">
        <x:v>Краткие пересказы на русском. Мнение автора не является подтверждённым фактом. Даты — визит/публикация, как указано; старые и коммерческие отзывы подписаны. Ссылки ведут к оригинальным страницам.</x:v>
      </x:c>
      <x:c r="Q3" s="13" t="str">
        <x:v>Краткие пересказы на русском. Мнение автора не является подтверждённым фактом. Даты — визит/публикация, как указано; старые и коммерческие отзывы подписаны. Ссылки ведут к оригинальным страницам.</x:v>
      </x:c>
    </x:row>
    <x:row r="4" ht="18.75" customHeight="1">
      <x:c r="A4" s="13" t="str">
        <x:v>Краткие пересказы на русском. Мнение автора не является подтверждённым фактом. Даты — визит/публикация, как указано; старые и коммерческие отзывы подписаны. Ссылки ведут к оригинальным страницам.</x:v>
      </x:c>
      <x:c r="B4" s="13" t="str">
        <x:v>Краткие пересказы на русском. Мнение автора не является подтверждённым фактом. Даты — визит/публикация, как указано; старые и коммерческие отзывы подписаны. Ссылки ведут к оригинальным страницам.</x:v>
      </x:c>
      <x:c r="C4" s="13" t="str">
        <x:v>Краткие пересказы на русском. Мнение автора не является подтверждённым фактом. Даты — визит/публикация, как указано; старые и коммерческие отзывы подписаны. Ссылки ведут к оригинальным страницам.</x:v>
      </x:c>
      <x:c r="D4" s="13" t="str">
        <x:v>Краткие пересказы на русском. Мнение автора не является подтверждённым фактом. Даты — визит/публикация, как указано; старые и коммерческие отзывы подписаны. Ссылки ведут к оригинальным страницам.</x:v>
      </x:c>
      <x:c r="E4" s="13" t="str">
        <x:v>Краткие пересказы на русском. Мнение автора не является подтверждённым фактом. Даты — визит/публикация, как указано; старые и коммерческие отзывы подписаны. Ссылки ведут к оригинальным страницам.</x:v>
      </x:c>
      <x:c r="F4" s="13" t="str">
        <x:v>Краткие пересказы на русском. Мнение автора не является подтверждённым фактом. Даты — визит/публикация, как указано; старые и коммерческие отзывы подписаны. Ссылки ведут к оригинальным страницам.</x:v>
      </x:c>
      <x:c r="G4" s="13" t="str">
        <x:v>Краткие пересказы на русском. Мнение автора не является подтверждённым фактом. Даты — визит/публикация, как указано; старые и коммерческие отзывы подписаны. Ссылки ведут к оригинальным страницам.</x:v>
      </x:c>
      <x:c r="H4" s="13" t="str">
        <x:v>Краткие пересказы на русском. Мнение автора не является подтверждённым фактом. Даты — визит/публикация, как указано; старые и коммерческие отзывы подписаны. Ссылки ведут к оригинальным страницам.</x:v>
      </x:c>
      <x:c r="I4" s="13" t="str">
        <x:v>Краткие пересказы на русском. Мнение автора не является подтверждённым фактом. Даты — визит/публикация, как указано; старые и коммерческие отзывы подписаны. Ссылки ведут к оригинальным страницам.</x:v>
      </x:c>
      <x:c r="J4" s="13" t="str">
        <x:v>Краткие пересказы на русском. Мнение автора не является подтверждённым фактом. Даты — визит/публикация, как указано; старые и коммерческие отзывы подписаны. Ссылки ведут к оригинальным страницам.</x:v>
      </x:c>
      <x:c r="K4" s="13" t="str">
        <x:v>Краткие пересказы на русском. Мнение автора не является подтверждённым фактом. Даты — визит/публикация, как указано; старые и коммерческие отзывы подписаны. Ссылки ведут к оригинальным страницам.</x:v>
      </x:c>
      <x:c r="L4" s="13" t="str">
        <x:v>Краткие пересказы на русском. Мнение автора не является подтверждённым фактом. Даты — визит/публикация, как указано; старые и коммерческие отзывы подписаны. Ссылки ведут к оригинальным страницам.</x:v>
      </x:c>
      <x:c r="M4" s="13" t="str">
        <x:v>Краткие пересказы на русском. Мнение автора не является подтверждённым фактом. Даты — визит/публикация, как указано; старые и коммерческие отзывы подписаны. Ссылки ведут к оригинальным страницам.</x:v>
      </x:c>
      <x:c r="N4" s="13" t="str">
        <x:v>Краткие пересказы на русском. Мнение автора не является подтверждённым фактом. Даты — визит/публикация, как указано; старые и коммерческие отзывы подписаны. Ссылки ведут к оригинальным страницам.</x:v>
      </x:c>
      <x:c r="O4" s="13" t="str">
        <x:v>Краткие пересказы на русском. Мнение автора не является подтверждённым фактом. Даты — визит/публикация, как указано; старые и коммерческие отзывы подписаны. Ссылки ведут к оригинальным страницам.</x:v>
      </x:c>
      <x:c r="P4" s="13" t="str">
        <x:v>Краткие пересказы на русском. Мнение автора не является подтверждённым фактом. Даты — визит/публикация, как указано; старые и коммерческие отзывы подписаны. Ссылки ведут к оригинальным страницам.</x:v>
      </x:c>
      <x:c r="Q4" s="13" t="str">
        <x:v>Краткие пересказы на русском. Мнение автора не является подтверждённым фактом. Даты — визит/публикация, как указано; старые и коммерческие отзывы подписаны. Ссылки ведут к оригинальным страницам.</x:v>
      </x:c>
    </x:row>
    <x:row r="5" ht="18.75" customHeight="1">
      <x:c r="A5" s="4"/>
      <x:c r="B5" s="4"/>
      <x:c r="C5" s="4"/>
      <x:c r="D5" s="4"/>
      <x:c r="E5" s="4"/>
      <x:c r="F5" s="4"/>
      <x:c r="G5" s="4"/>
      <x:c r="H5" s="4"/>
      <x:c r="I5" s="4"/>
      <x:c r="J5" s="4"/>
      <x:c r="K5" s="4"/>
      <x:c r="L5" s="4"/>
      <x:c r="M5" s="4"/>
      <x:c r="N5" s="4"/>
      <x:c r="O5" s="4"/>
      <x:c r="P5" s="4"/>
      <x:c r="Q5" s="4"/>
    </x:row>
    <x:row r="6" ht="33" customHeight="1">
      <x:c r="A6" s="42" t="str">
        <x:v>ID</x:v>
      </x:c>
      <x:c r="B6" s="42" t="str">
        <x:v>Место</x:v>
      </x:c>
      <x:c r="C6" s="42" t="str">
        <x:v>Когда лучше</x:v>
      </x:c>
      <x:c r="D6" s="42" t="str">
        <x:v>Что учесть</x:v>
      </x:c>
      <x:c r="E6" s="42" t="str">
        <x:v>Отзыв 1 • пересказ</x:v>
      </x:c>
      <x:c r="F6" s="42" t="str">
        <x:v>Отзыв 2 • пересказ</x:v>
      </x:c>
      <x:c r="G6" s="42" t="str">
        <x:v>Оригинал 1</x:v>
      </x:c>
      <x:c r="H6" s="42" t="str">
        <x:v>Оригинал 2</x:v>
      </x:c>
      <x:c r="I6" s="42" t="str">
        <x:v>Рейтинг • источник</x:v>
      </x:c>
      <x:c r="J6" s="42" t="str">
        <x:v>Широта</x:v>
      </x:c>
      <x:c r="K6" s="42" t="str">
        <x:v>Долгота</x:v>
      </x:c>
      <x:c r="L6" s="42" t="str">
        <x:v>Точность геолокации</x:v>
      </x:c>
      <x:c r="M6" s="42" t="str">
        <x:v>Источник гео</x:v>
      </x:c>
      <x:c r="N6" s="42" t="str">
        <x:v>Проверка</x:v>
      </x:c>
      <x:c r="O6" s="42" t="str">
        <x:v>Выборка</x:v>
      </x:c>
      <x:c r="P6" s="42" t="str">
        <x:v>Фото • источник</x:v>
      </x:c>
      <x:c r="Q6" s="42" t="str">
        <x:v>В список</x:v>
      </x:c>
    </x:row>
    <x:row r="7" ht="108.75" customHeight="1">
      <x:c r="A7" s="34" t="n">
        <x:v>1</x:v>
      </x:c>
      <x:c r="B7" s="7" t="str">
        <x:v>Sekumpul Waterfall</x:v>
      </x:c>
      <x:c r="C7" s="4" t="str">
        <x:v>Утро</x:v>
      </x:c>
      <x:c r="D7" s="4" t="str">
        <x:v>Много ступеней и брод; после дождя маршрут меняется. Не соглашаться на первый придорожный «билет».</x:v>
      </x:c>
      <x:c r="E7" s="4" t="str">
        <x:v>r2thebizel · 04.2026: впечатлили мощь воды и работа гида; дождь ограничил переход через реку.</x:v>
      </x:c>
      <x:c r="F7" s="4" t="str">
        <x:v>alana a · 02.2026: жаловалась на навязчивых продавцов дорогих пакетов по дороге; советует дойти до официального входа.</x:v>
      </x:c>
      <x:c r="G7" s="8" t="str">
        <x:f>HYPERLINK("https://www.tripadvisor.com/Attraction_Review-g15319469-d3218339-Reviews-Sekumpul_Waterfall-Sekumpul_Buleleng_Regency_Bali.html","Читать ↗")</x:f>
        <x:v>Читать ↗</x:v>
      </x:c>
      <x:c r="H7" s="8" t="str">
        <x:f>HYPERLINK("https://www.tripadvisor.com/Attraction_Review-g15319469-d3218339-Reviews-Sekumpul_Waterfall-Sekumpul_Buleleng_Regency_Bali.html","Читать ↗")</x:f>
        <x:v>Читать ↗</x:v>
      </x:c>
      <x:c r="I7" s="8" t="str">
        <x:f>HYPERLINK("https://www.tripadvisor.com/Attraction_Review-g15319469-d3218339-Reviews-Sekumpul_Waterfall-Sekumpul_Buleleng_Regency_Bali.html","TA ↗")</x:f>
        <x:v>TA ↗</x:v>
      </x:c>
      <x:c r="J7" s="43" t="n">
        <x:v>-8.1778099</x:v>
      </x:c>
      <x:c r="K7" s="43" t="n">
        <x:v>115.1826914</x:v>
      </x:c>
      <x:c r="L7" s="4" t="str">
        <x:v>Точка/центр объекта по OpenStreetMap</x:v>
      </x:c>
      <x:c r="M7" s="8" t="str">
        <x:f>HYPERLINK("https://www.openstreetmap.org/node/1757186004","Координаты ↗")</x:f>
        <x:v>Координаты ↗</x:v>
      </x:c>
      <x:c r="N7" s="4" t="str">
        <x:v>29.09.2026</x:v>
      </x:c>
      <x:c r="O7" s="4" t="str">
        <x:v>50+ отзывов</x:v>
      </x:c>
      <x:c r="P7" s="8" t="str">
        <x:f>HYPERLINK("https://dynamic-media-cdn.tripadvisor.com/media/photo-o/16/c6/82/4a/sekumpul-waterfalls.jpg?h=400&amp;s=1&amp;w=700","Tripadvisor / фото ↗")</x:f>
        <x:v>Tripadvisor / фото ↗</x:v>
      </x:c>
      <x:c r="Q7" s="8" t="str">
        <x:f>HYPERLINK("#'Места'!A33","В список →")</x:f>
        <x:v>В список →</x:v>
      </x:c>
    </x:row>
    <x:row r="8" ht="108.75" customHeight="1">
      <x:c r="A8" s="34" t="n">
        <x:v>2</x:v>
      </x:c>
      <x:c r="B8" s="17" t="str">
        <x:v>Tegenungan Waterfall</x:v>
      </x:c>
      <x:c r="C8" s="16" t="str">
        <x:v>Рано утром</x:v>
      </x:c>
      <x:c r="D8" s="16" t="str">
        <x:v>Ступени, музыка и клубы рядом; ощущения дикой природы может не быть.</x:v>
      </x:c>
      <x:c r="E8" s="16" t="str">
        <x:v>Irene L · 07.2026: мощный поток, зелёная долина; лучше приехать пораньше.</x:v>
      </x:c>
      <x:c r="F8" s="16" t="str">
        <x:v>Олеся Ш · 04.2026: место красивое, но крутые ступени осложняют визит людям с ограниченной подвижностью.</x:v>
      </x:c>
      <x:c r="G8" s="18" t="str">
        <x:f>HYPERLINK("https://www.tripadvisor.com/Attraction_Review-g297701-d2643063-Reviews-Tegenungan_Waterfall-Ubud_Gianyar_Regency_Bali.html","Читать ↗")</x:f>
        <x:v>Читать ↗</x:v>
      </x:c>
      <x:c r="H8" s="18" t="str">
        <x:f>HYPERLINK("https://www.tripadvisor.com/Attraction_Review-g297701-d2643063-Reviews-Tegenungan_Waterfall-Ubud_Gianyar_Regency_Bali.html","Читать ↗")</x:f>
        <x:v>Читать ↗</x:v>
      </x:c>
      <x:c r="I8" s="18" t="str">
        <x:f>HYPERLINK("https://www.tripadvisor.com/Attraction_Review-g297701-d2643063-Reviews-Tegenungan_Waterfall-Ubud_Gianyar_Regency_Bali.html","TA ↗")</x:f>
        <x:v>TA ↗</x:v>
      </x:c>
      <x:c r="J8" s="44" t="n">
        <x:v>-8.5752294</x:v>
      </x:c>
      <x:c r="K8" s="44" t="n">
        <x:v>115.2907014</x:v>
      </x:c>
      <x:c r="L8" s="16" t="str">
        <x:v>Точка/центр объекта по OpenStreetMap</x:v>
      </x:c>
      <x:c r="M8" s="18" t="str">
        <x:f>HYPERLINK("https://www.openstreetmap.org/node/1454965010","Координаты ↗")</x:f>
        <x:v>Координаты ↗</x:v>
      </x:c>
      <x:c r="N8" s="16" t="str">
        <x:v>29.09.2026</x:v>
      </x:c>
      <x:c r="O8" s="16" t="str">
        <x:v>50+ отзывов</x:v>
      </x:c>
      <x:c r="P8" s="18" t="str">
        <x:f>HYPERLINK("https://dynamic-media-cdn.tripadvisor.com/media/photo-o/1a/02/ae/f7/tegenungan-waterfall.jpg?h=400&amp;s=1&amp;w=700","Tripadvisor / фото ↗")</x:f>
        <x:v>Tripadvisor / фото ↗</x:v>
      </x:c>
      <x:c r="Q8" s="18" t="str">
        <x:f>HYPERLINK("#'Места'!A18","В список →")</x:f>
        <x:v>В список →</x:v>
      </x:c>
    </x:row>
    <x:row r="9" ht="108.75" customHeight="1">
      <x:c r="A9" s="34" t="n">
        <x:v>3</x:v>
      </x:c>
      <x:c r="B9" s="7" t="str">
        <x:v>Tibumana Waterfall</x:v>
      </x:c>
      <x:c r="C9" s="4" t="str">
        <x:v>Утро</x:v>
      </x:c>
      <x:c r="D9" s="4" t="str">
        <x:v>Купание только при разрешённых условиях; после дождя вода бывает мутной.</x:v>
      </x:c>
      <x:c r="E9" s="4" t="str">
        <x:v>Brad · 01.2026: понравилась долина, но вода в день визита была мутной.</x:v>
      </x:c>
      <x:c r="F9" s="4" t="str">
        <x:v>Esreist · 08.2025: ухоженная дорожка и бамбуковые мостики; дети 4 и 8 лет прошли маршрут.</x:v>
      </x:c>
      <x:c r="G9" s="8" t="str">
        <x:f>HYPERLINK("https://www.tripadvisor.com/Attraction_Review-g15324398-d10064374-Reviews-Tibumana_Waterfall-Apuan_Bangli_Bali.html","Читать ↗")</x:f>
        <x:v>Читать ↗</x:v>
      </x:c>
      <x:c r="H9" s="8" t="str">
        <x:f>HYPERLINK("https://www.tripadvisor.com/Attraction_Review-g15324398-d10064374-Reviews-Tibumana_Waterfall-Apuan_Bangli_Bali.html","Читать ↗")</x:f>
        <x:v>Читать ↗</x:v>
      </x:c>
      <x:c r="I9" s="8" t="str">
        <x:f>HYPERLINK("https://www.tripadvisor.com/Attraction_Review-g15324398-d10064374-Reviews-Tibumana_Waterfall-Apuan_Bangli_Bali.html","TA ↗")</x:f>
        <x:v>TA ↗</x:v>
      </x:c>
      <x:c r="J9" s="43" t="n">
        <x:v>-8.5068009</x:v>
      </x:c>
      <x:c r="K9" s="43" t="n">
        <x:v>115.3330647</x:v>
      </x:c>
      <x:c r="L9" s="4" t="str">
        <x:v>Точка/центр объекта по OpenStreetMap</x:v>
      </x:c>
      <x:c r="M9" s="8" t="str">
        <x:f>HYPERLINK("https://www.openstreetmap.org/node/4858759616","Координаты ↗")</x:f>
        <x:v>Координаты ↗</x:v>
      </x:c>
      <x:c r="N9" s="4" t="str">
        <x:v>29.09.2026</x:v>
      </x:c>
      <x:c r="O9" s="4" t="str">
        <x:v>50+ отзывов</x:v>
      </x:c>
      <x:c r="P9" s="8" t="str">
        <x:f>HYPERLINK("https://dynamic-media-cdn.tripadvisor.com/media/photo-o/0e/3d/7a/a9/the-waterfall.jpg?h=-1&amp;s=1&amp;w=700","Tripadvisor / фото ↗")</x:f>
        <x:v>Tripadvisor / фото ↗</x:v>
      </x:c>
      <x:c r="Q9" s="8" t="str">
        <x:f>HYPERLINK("#'Места'!A68","В список →")</x:f>
        <x:v>В список →</x:v>
      </x:c>
    </x:row>
    <x:row r="10" ht="108.75" customHeight="1">
      <x:c r="A10" s="34" t="n">
        <x:v>4</x:v>
      </x:c>
      <x:c r="B10" s="17" t="str">
        <x:v>Tukad Cepung Waterfall</x:v>
      </x:c>
      <x:c r="C10" s="16" t="str">
        <x:v>Утро при солнце</x:v>
      </x:c>
      <x:c r="D10" s="16" t="str">
        <x:v>Нужно идти по воде; уровень и течение зависят от дождей. Акваобувь.</x:v>
      </x:c>
      <x:c r="E10" s="16" t="str">
        <x:v>zsszn · 02.2026: высокий уровень воды и острые камни; дети не смогли закончить маршрут.</x:v>
      </x:c>
      <x:c r="F10" s="16" t="str">
        <x:v>Caroline L · 02.2026: впечатляющий водопад, но крутые ступени и вода до бёдер усложнили подход.</x:v>
      </x:c>
      <x:c r="G10" s="18" t="str">
        <x:f>HYPERLINK("https://www.tripadvisor.com/Attraction_Review-g3400859-d9705661-Reviews-Tukad_Cepung_Waterfall-Tembuku_Bali.html","Читать ↗")</x:f>
        <x:v>Читать ↗</x:v>
      </x:c>
      <x:c r="H10" s="18" t="str">
        <x:f>HYPERLINK("https://www.tripadvisor.com/Attraction_Review-g3400859-d9705661-Reviews-Tukad_Cepung_Waterfall-Tembuku_Bali.html","Читать ↗")</x:f>
        <x:v>Читать ↗</x:v>
      </x:c>
      <x:c r="I10" s="18" t="str">
        <x:f>HYPERLINK("https://www.tripadvisor.com/Attraction_Review-g3400859-d9705661-Reviews-Tukad_Cepung_Waterfall-Tembuku_Bali.html","TA ↗")</x:f>
        <x:v>TA ↗</x:v>
      </x:c>
      <x:c r="J10" s="44" t="n">
        <x:v>-8.4423213</x:v>
      </x:c>
      <x:c r="K10" s="44" t="n">
        <x:v>115.3879035</x:v>
      </x:c>
      <x:c r="L10" s="16" t="str">
        <x:v>Точка/центр объекта по OpenStreetMap</x:v>
      </x:c>
      <x:c r="M10" s="18" t="str">
        <x:f>HYPERLINK("https://www.openstreetmap.org/node/5002610612","Координаты ↗")</x:f>
        <x:v>Координаты ↗</x:v>
      </x:c>
      <x:c r="N10" s="16" t="str">
        <x:v>29.09.2026</x:v>
      </x:c>
      <x:c r="O10" s="16" t="str">
        <x:v>50+ отзывов</x:v>
      </x:c>
      <x:c r="P10" s="18" t="str">
        <x:f>HYPERLINK("https://dynamic-media-cdn.tripadvisor.com/media/photo-o/19/6e/1c/9a/tukad-cepung-waterfall.jpg?h=400&amp;s=1&amp;w=600","Tripadvisor / фото ↗")</x:f>
        <x:v>Tripadvisor / фото ↗</x:v>
      </x:c>
      <x:c r="Q10" s="18" t="str">
        <x:f>HYPERLINK("#'Места'!A59","В список →")</x:f>
        <x:v>В список →</x:v>
      </x:c>
    </x:row>
    <x:row r="11" ht="108.75" customHeight="1">
      <x:c r="A11" s="34" t="n">
        <x:v>5</x:v>
      </x:c>
      <x:c r="B11" s="7" t="str">
        <x:v>Banyumala Twin Waterfalls</x:v>
      </x:c>
      <x:c r="C11" s="4" t="str">
        <x:v>Утро</x:v>
      </x:c>
      <x:c r="D11" s="4" t="str">
        <x:v>Крутой и скользкий подъём обратно; не считать посещение лёгкой прогулкой.</x:v>
      </x:c>
      <x:c r="E11" s="4" t="str">
        <x:v>T-SGlobetrotters · 10.2025: спуск занял 10–15 минут, много зелени и умеренное число людей.</x:v>
      </x:c>
      <x:c r="F11" s="4" t="str">
        <x:v>Fabrice B · 10.2025: понравилось купание, но возвращение вверх оказалось тяжёлым для коленей.</x:v>
      </x:c>
      <x:c r="G11" s="8" t="str">
        <x:f>HYPERLINK("https://www.tripadvisor.com/Attraction_Review-g12288293-d9757743-Reviews-Banyumala_Twin_Waterfalls-Wanagiri_Sukasada_Buleleng_Regency_Bali.html","Читать ↗")</x:f>
        <x:v>Читать ↗</x:v>
      </x:c>
      <x:c r="H11" s="8" t="str">
        <x:f>HYPERLINK("https://www.tripadvisor.com/Attraction_Review-g12288293-d9757743-Reviews-Banyumala_Twin_Waterfalls-Wanagiri_Sukasada_Buleleng_Regency_Bali.html","Читать ↗")</x:f>
        <x:v>Читать ↗</x:v>
      </x:c>
      <x:c r="I11" s="8" t="str">
        <x:f>HYPERLINK("https://www.tripadvisor.com/Attraction_Review-g12288293-d9757743-Reviews-Banyumala_Twin_Waterfalls-Wanagiri_Sukasada_Buleleng_Regency_Bali.html","TA ↗")</x:f>
        <x:v>TA ↗</x:v>
      </x:c>
      <x:c r="J11" s="43" t="n">
        <x:v>-8.2172968</x:v>
      </x:c>
      <x:c r="K11" s="43" t="n">
        <x:v>115.1016611</x:v>
      </x:c>
      <x:c r="L11" s="4" t="str">
        <x:v>Точка/центр объекта по OpenStreetMap</x:v>
      </x:c>
      <x:c r="M11" s="8" t="str">
        <x:f>HYPERLINK("https://www.openstreetmap.org/node/4423304495","Координаты ↗")</x:f>
        <x:v>Координаты ↗</x:v>
      </x:c>
      <x:c r="N11" s="4" t="str">
        <x:v>29.09.2026</x:v>
      </x:c>
      <x:c r="O11" s="4" t="str">
        <x:v>50+ отзывов</x:v>
      </x:c>
      <x:c r="P11" s="8" t="str">
        <x:f>HYPERLINK("https://dynamic-media-cdn.tripadvisor.com/media/photo-o/17/7c/29/70/untouristic-watetfall.jpg?h=-1&amp;s=1&amp;w=700","Tripadvisor / фото ↗")</x:f>
        <x:v>Tripadvisor / фото ↗</x:v>
      </x:c>
      <x:c r="Q11" s="8" t="str">
        <x:f>HYPERLINK("#'Места'!A64","В список →")</x:f>
        <x:v>В список →</x:v>
      </x:c>
    </x:row>
    <x:row r="12" ht="108.75" customHeight="1">
      <x:c r="A12" s="34" t="n">
        <x:v>6</x:v>
      </x:c>
      <x:c r="B12" s="17" t="str">
        <x:v>Nungnung Waterfall</x:v>
      </x:c>
      <x:c r="C12" s="16" t="str">
        <x:v>Утро</x:v>
      </x:c>
      <x:c r="D12" s="16" t="str">
        <x:v>Длинная лестница и брызги; не подходить под основной поток.</x:v>
      </x:c>
      <x:c r="E12" s="16" t="str">
        <x:v>Lorena R · 09.2025: впечатляющая мощь, тяжёлое возвращение по ступеням.</x:v>
      </x:c>
      <x:c r="F12" s="16" t="str">
        <x:v>Baliku Bikecycling · 09.2025, туроператор: хвалит сельские пейзажи и природное окружение; коммерческий отзыв.</x:v>
      </x:c>
      <x:c r="G12" s="18" t="str">
        <x:f>HYPERLINK("https://www.tripadvisor.com/Attraction_Review-g9856222-d7619192-Reviews-Nungnung_Waterfall-Nungnung_Bali.html","Читать ↗")</x:f>
        <x:v>Читать ↗</x:v>
      </x:c>
      <x:c r="H12" s="18" t="str">
        <x:f>HYPERLINK("https://www.tripadvisor.com/Attraction_Review-g9856222-d7619192-Reviews-Nungnung_Waterfall-Nungnung_Bali.html","Читать ↗")</x:f>
        <x:v>Читать ↗</x:v>
      </x:c>
      <x:c r="I12" s="18" t="str">
        <x:f>HYPERLINK("https://www.tripadvisor.com/Attraction_Review-g9856222-d7619192-Reviews-Nungnung_Waterfall-Nungnung_Bali.html","TA ↗")</x:f>
        <x:v>TA ↗</x:v>
      </x:c>
      <x:c r="J12" s="44" t="n">
        <x:v>-8.3286731</x:v>
      </x:c>
      <x:c r="K12" s="44" t="n">
        <x:v>115.2291906</x:v>
      </x:c>
      <x:c r="L12" s="16" t="str">
        <x:v>Точка/центр объекта по OpenStreetMap</x:v>
      </x:c>
      <x:c r="M12" s="18" t="str">
        <x:f>HYPERLINK("https://www.openstreetmap.org/node/5234482708","Координаты ↗")</x:f>
        <x:v>Координаты ↗</x:v>
      </x:c>
      <x:c r="N12" s="16" t="str">
        <x:v>29.09.2026</x:v>
      </x:c>
      <x:c r="O12" s="16" t="str">
        <x:v>50+ отзывов</x:v>
      </x:c>
      <x:c r="P12" s="18" t="str">
        <x:f>HYPERLINK("https://dynamic-media-cdn.tripadvisor.com/media/photo-o/0a/54/26/a8/img-5332-largejpg.jpg?h=400&amp;s=1&amp;w=700","Tripadvisor / фото ↗")</x:f>
        <x:v>Tripadvisor / фото ↗</x:v>
      </x:c>
      <x:c r="Q12" s="18" t="str">
        <x:f>HYPERLINK("#'Места'!A61","В список →")</x:f>
        <x:v>В список →</x:v>
      </x:c>
    </x:row>
    <x:row r="13" ht="108.75" customHeight="1">
      <x:c r="A13" s="34" t="n">
        <x:v>7</x:v>
      </x:c>
      <x:c r="B13" s="7" t="str">
        <x:v>Leke Leke Waterfall</x:v>
      </x:c>
      <x:c r="C13" s="4" t="str">
        <x:v>Рано утром</x:v>
      </x:c>
      <x:c r="D13" s="4" t="str">
        <x:v>На главном фотоместе возможна очередь; лестница скользкая после дождя.</x:v>
      </x:c>
      <x:c r="E13" s="4" t="str">
        <x:v>John C · 06.2025: красивый маршрут, хорошие туалеты и кафе; ступени удалось пройти после 60 лет.</x:v>
      </x:c>
      <x:c r="F13" s="4" t="str">
        <x:v>geosyl · 09.2025: отмечает крутизну и скользкие участки обратного подъёма.</x:v>
      </x:c>
      <x:c r="G13" s="8" t="str">
        <x:f>HYPERLINK("https://www.tripadvisor.com/Attraction_Review-g608480-d17537630-Reviews-Leke_Leke_Waterfall-Baturiti_Bali.html","Читать ↗")</x:f>
        <x:v>Читать ↗</x:v>
      </x:c>
      <x:c r="H13" s="8" t="str">
        <x:f>HYPERLINK("https://www.tripadvisor.com/Attraction_Review-g608480-d17537630-Reviews-Leke_Leke_Waterfall-Baturiti_Bali.html","Читать ↗")</x:f>
        <x:v>Читать ↗</x:v>
      </x:c>
      <x:c r="I13" s="8" t="str">
        <x:f>HYPERLINK("https://www.tripadvisor.com/Attraction_Review-g608480-d17537630-Reviews-Leke_Leke_Waterfall-Baturiti_Bali.html","TA ↗")</x:f>
        <x:v>TA ↗</x:v>
      </x:c>
      <x:c r="J13" s="43" t="n">
        <x:v>-8.3650867</x:v>
      </x:c>
      <x:c r="K13" s="43" t="n">
        <x:v>115.1999365</x:v>
      </x:c>
      <x:c r="L13" s="4" t="str">
        <x:v>Точка/центр объекта по OpenStreetMap</x:v>
      </x:c>
      <x:c r="M13" s="8" t="str">
        <x:f>HYPERLINK("https://www.openstreetmap.org/node/14161851901","Координаты ↗")</x:f>
        <x:v>Координаты ↗</x:v>
      </x:c>
      <x:c r="N13" s="4" t="str">
        <x:v>29.09.2026</x:v>
      </x:c>
      <x:c r="O13" s="4" t="str">
        <x:v>50+ отзывов</x:v>
      </x:c>
      <x:c r="P13" s="8" t="str">
        <x:f>HYPERLINK("https://dynamic-media-cdn.tripadvisor.com/media/photo-o/17/bb/34/cf/photo4jpg.jpg?h=400&amp;s=1&amp;w=700","Tripadvisor / фото ↗")</x:f>
        <x:v>Tripadvisor / фото ↗</x:v>
      </x:c>
      <x:c r="Q13" s="8" t="str">
        <x:f>HYPERLINK("#'Места'!A73","В список →")</x:f>
        <x:v>В список →</x:v>
      </x:c>
    </x:row>
    <x:row r="14" ht="108.75" customHeight="1">
      <x:c r="A14" s="34" t="n">
        <x:v>8</x:v>
      </x:c>
      <x:c r="B14" s="17" t="str">
        <x:v>Aling-Aling Waterfall</x:v>
      </x:c>
      <x:c r="C14" s="16" t="str">
        <x:v>Утро</x:v>
      </x:c>
      <x:c r="D14" s="16" t="str">
        <x:v>Прыжки и скатывания — только с местным гидом и после оценки условий.</x:v>
      </x:c>
      <x:c r="E14" s="16" t="str">
        <x:v>John H · 08.2026: понравились прыжки и помощь гида DD.</x:v>
      </x:c>
      <x:c r="F14" s="16" t="str">
        <x:v>HighEnchantress · 08.2026: на маршруте четыре водопада; у основного круто, высокие прыжки можно пропустить.</x:v>
      </x:c>
      <x:c r="G14" s="18" t="str">
        <x:f>HYPERLINK("https://www.tripadvisor.com/Attraction_Review-g14121454-d8394554-Reviews-Aling_Aling_Waterfall-Sambangan_Sukasada_Buleleng_Regency_Bali.html","Читать ↗")</x:f>
        <x:v>Читать ↗</x:v>
      </x:c>
      <x:c r="H14" s="18" t="str">
        <x:f>HYPERLINK("https://www.tripadvisor.com/Attraction_Review-g14121454-d8394554-Reviews-Aling_Aling_Waterfall-Sambangan_Sukasada_Buleleng_Regency_Bali.html","Читать ↗")</x:f>
        <x:v>Читать ↗</x:v>
      </x:c>
      <x:c r="I14" s="18" t="str">
        <x:f>HYPERLINK("https://www.tripadvisor.com/Attraction_Review-g14121454-d8394554-Reviews-Aling_Aling_Waterfall-Sambangan_Sukasada_Buleleng_Regency_Bali.html","TA ↗")</x:f>
        <x:v>TA ↗</x:v>
      </x:c>
      <x:c r="J14" s="44" t="n">
        <x:v>-8.1767917</x:v>
      </x:c>
      <x:c r="K14" s="44" t="n">
        <x:v>115.1062843</x:v>
      </x:c>
      <x:c r="L14" s="16" t="str">
        <x:v>Точка/центр объекта по OpenStreetMap</x:v>
      </x:c>
      <x:c r="M14" s="18" t="str">
        <x:f>HYPERLINK("https://www.openstreetmap.org/node/275573945","Координаты ↗")</x:f>
        <x:v>Координаты ↗</x:v>
      </x:c>
      <x:c r="N14" s="16" t="str">
        <x:v>29.09.2026</x:v>
      </x:c>
      <x:c r="O14" s="16" t="str">
        <x:v>50+ отзывов</x:v>
      </x:c>
      <x:c r="P14" s="18" t="str">
        <x:f>HYPERLINK("https://dynamic-media-cdn.tripadvisor.com/media/photo-o/17/d5/65/17/paradise.jpg?h=400&amp;s=1&amp;w=700","Tripadvisor / фото ↗")</x:f>
        <x:v>Tripadvisor / фото ↗</x:v>
      </x:c>
      <x:c r="Q14" s="18" t="str">
        <x:f>HYPERLINK("#'Места'!A58","В список →")</x:f>
        <x:v>В список →</x:v>
      </x:c>
    </x:row>
    <x:row r="15" ht="108.75" customHeight="1">
      <x:c r="A15" s="34" t="n">
        <x:v>9</x:v>
      </x:c>
      <x:c r="B15" s="7" t="str">
        <x:v>Gitgit Waterfall</x:v>
      </x:c>
      <x:c r="C15" s="4" t="str">
        <x:v>Утро</x:v>
      </x:c>
      <x:c r="D15" s="4" t="str">
        <x:v>Торговцы и предложения гидов на подходе; заранее согласовать услуги.</x:v>
      </x:c>
      <x:c r="E15" s="4" t="str">
        <x:v>Xander M · 06.2025: водопады понравились; считает вход дороговатым и не советует при проблемах с ходьбой.</x:v>
      </x:c>
      <x:c r="F15" s="4" t="str">
        <x:v>Sam S · 12.2024: ценит джунгли, деревья специй и небольшой кофейный уголок; даже дождь не испортил визит.</x:v>
      </x:c>
      <x:c r="G15" s="8" t="str">
        <x:f>HYPERLINK("https://www.tripadvisor.com/Attraction_Review-g297699-d626130-Reviews-Git_Git_Waterfall-Singaraja_Buleleng_District_Buleleng_Regency_Bali.html","Читать ↗")</x:f>
        <x:v>Читать ↗</x:v>
      </x:c>
      <x:c r="H15" s="8" t="str">
        <x:f>HYPERLINK("https://www.tripadvisor.com/Attraction_Review-g297699-d626130-Reviews-Git_Git_Waterfall-Singaraja_Buleleng_District_Buleleng_Regency_Bali.html","Читать ↗")</x:f>
        <x:v>Читать ↗</x:v>
      </x:c>
      <x:c r="I15" s="8" t="str">
        <x:f>HYPERLINK("https://www.tripadvisor.co.uk/Attraction_Review-g297699-d626130-Reviews-Git_Git_Waterfall-Singaraja_Buleleng_District_Buleleng_Regency_Bali.html","TA ↗")</x:f>
        <x:v>TA ↗</x:v>
      </x:c>
      <x:c r="J15" s="43" t="n">
        <x:v>-8.1935621</x:v>
      </x:c>
      <x:c r="K15" s="43" t="n">
        <x:v>115.1350753</x:v>
      </x:c>
      <x:c r="L15" s="4" t="str">
        <x:v>Точка/центр объекта по OpenStreetMap</x:v>
      </x:c>
      <x:c r="M15" s="8" t="str">
        <x:f>HYPERLINK("https://www.openstreetmap.org/node/815318079","Координаты ↗")</x:f>
        <x:v>Координаты ↗</x:v>
      </x:c>
      <x:c r="N15" s="4" t="str">
        <x:v>29.09.2026</x:v>
      </x:c>
      <x:c r="O15" s="4" t="str">
        <x:v>50+ отзывов</x:v>
      </x:c>
      <x:c r="P15" s="8" t="str">
        <x:f>HYPERLINK("https://dynamic-media-cdn.tripadvisor.com/media/photo-o/09/97/b1/b3/gitgit-waterfall.jpg?h=400&amp;s=1&amp;w=700","Tripadvisor / фото ↗")</x:f>
        <x:v>Tripadvisor / фото ↗</x:v>
      </x:c>
      <x:c r="Q15" s="8" t="str">
        <x:f>HYPERLINK("#'Места'!A34","В список →")</x:f>
        <x:v>В список →</x:v>
      </x:c>
    </x:row>
    <x:row r="16" ht="108.75" customHeight="1">
      <x:c r="A16" s="34" t="n">
        <x:v>10</x:v>
      </x:c>
      <x:c r="B16" s="17" t="str">
        <x:v>Munduk Waterfall</x:v>
      </x:c>
      <x:c r="C16" s="16" t="str">
        <x:v>Утро</x:v>
      </x:c>
      <x:c r="D16" s="16" t="str">
        <x:v>На карте отмечен Red Coral; не путать с другими водопадами Мундука.</x:v>
      </x:c>
      <x:c r="E16" s="16" t="str">
        <x:v>Moatib666 · 07.2025: красивый маршрут по нескольким водопадам, но много ступеней и отдельных оплат.</x:v>
      </x:c>
      <x:c r="F16" s="16" t="str">
        <x:v>MrRux · 08.2024: понравился контраст воды и тёмных скал; возвращение вверх утомляет.</x:v>
      </x:c>
      <x:c r="G16" s="18" t="str">
        <x:f>HYPERLINK("https://www.tripadvisor.com/Attraction_Review-g608490-d3267471-Reviews-Munduk_Waterfall-Munduk_Banjar_Buleleng_Regency_Bali.html","Читать ↗")</x:f>
        <x:v>Читать ↗</x:v>
      </x:c>
      <x:c r="H16" s="18" t="str">
        <x:f>HYPERLINK("https://www.tripadvisor.com/Attraction_Review-g608490-d3267471-Reviews-Munduk_Waterfall-Munduk_Banjar_Buleleng_Regency_Bali.html","Читать ↗")</x:f>
        <x:v>Читать ↗</x:v>
      </x:c>
      <x:c r="I16" s="18" t="str">
        <x:f>HYPERLINK("https://www.tripadvisor.com/Attraction_Review-g608490-d3267471-Reviews-Munduk_Waterfall-Munduk_Banjar_Buleleng_Regency_Bali.html","TA ↗")</x:f>
        <x:v>TA ↗</x:v>
      </x:c>
      <x:c r="J16" s="44" t="n">
        <x:v>-8.2571061</x:v>
      </x:c>
      <x:c r="K16" s="44" t="n">
        <x:v>115.0703818</x:v>
      </x:c>
      <x:c r="L16" s="16" t="str">
        <x:v>Точка/центр объекта по OpenStreetMap</x:v>
      </x:c>
      <x:c r="M16" s="18" t="str">
        <x:f>HYPERLINK("https://www.openstreetmap.org/node/10972366179","Координаты ↗")</x:f>
        <x:v>Координаты ↗</x:v>
      </x:c>
      <x:c r="N16" s="16" t="str">
        <x:v>29.09.2026</x:v>
      </x:c>
      <x:c r="O16" s="16" t="str">
        <x:v>50+ отзывов</x:v>
      </x:c>
      <x:c r="P16" s="18" t="str">
        <x:f>HYPERLINK("https://dynamic-media-cdn.tripadvisor.com/media/photo-o/16/27/2a/ff/munduk-wasserfall-auf.jpg?h=400&amp;s=1&amp;w=700","Tripadvisor / фото ↗")</x:f>
        <x:v>Tripadvisor / фото ↗</x:v>
      </x:c>
      <x:c r="Q16" s="18" t="str">
        <x:f>HYPERLINK("#'Места'!A52","В список →")</x:f>
        <x:v>В список →</x:v>
      </x:c>
    </x:row>
    <x:row r="17" ht="108.75" customHeight="1">
      <x:c r="A17" s="34" t="n">
        <x:v>11</x:v>
      </x:c>
      <x:c r="B17" s="7" t="str">
        <x:v>Banyu Wana Amertha Waterfall</x:v>
      </x:c>
      <x:c r="C17" s="4" t="str">
        <x:v>Утро</x:v>
      </x:c>
      <x:c r="D17" s="4" t="str">
        <x:v>Холодная вода, скользкие камни и подъём обратно.</x:v>
      </x:c>
      <x:c r="E17" s="4" t="str">
        <x:v>Julianne Davies · 06.2025: четыре красивых водопада, пышная зелень; рекомендует удобную обувь.</x:v>
      </x:c>
      <x:c r="F17" s="4" t="str">
        <x:v>Ben G · 07.2024: спокойнее, чем на многих известных водопадах; приятное место для фотографий.</x:v>
      </x:c>
      <x:c r="G17" s="8" t="str">
        <x:f>HYPERLINK("https://www.tripadvisor.com/Attraction_Review-g12288293-d15125410-Reviews-Banyu_Wana_Amertha_Waterfall-Wanagiri_Sukasada_Buleleng_Regency_Bali.html","Читать ↗")</x:f>
        <x:v>Читать ↗</x:v>
      </x:c>
      <x:c r="H17" s="8" t="str">
        <x:f>HYPERLINK("https://www.tripadvisor.com/Attraction_Review-g12288293-d15125410-Reviews-Banyu_Wana_Amertha_Waterfall-Wanagiri_Sukasada_Buleleng_Regency_Bali.html","Читать ↗")</x:f>
        <x:v>Читать ↗</x:v>
      </x:c>
      <x:c r="I17" s="8" t="str">
        <x:f>HYPERLINK("https://www.tripadvisor.co.uk/Attraction_Review-g12288293-d15125410-Reviews-Banyu_Wana_Amertha_Waterfall-Wanagiri_Sukasada_Buleleng_Regency_Bali.html","TA ↗")</x:f>
        <x:v>TA ↗</x:v>
      </x:c>
      <x:c r="J17" s="43" t="n">
        <x:v>-8.2084853</x:v>
      </x:c>
      <x:c r="K17" s="43" t="n">
        <x:v>115.1182432</x:v>
      </x:c>
      <x:c r="L17" s="4" t="str">
        <x:v>Точка/центр объекта по OpenStreetMap</x:v>
      </x:c>
      <x:c r="M17" s="8" t="str">
        <x:f>HYPERLINK("https://www.openstreetmap.org/node/7242489011","Координаты ↗")</x:f>
        <x:v>Координаты ↗</x:v>
      </x:c>
      <x:c r="N17" s="4" t="str">
        <x:v>29.09.2026</x:v>
      </x:c>
      <x:c r="O17" s="4" t="str">
        <x:v>Малая: &lt;50</x:v>
      </x:c>
      <x:c r="P17" s="8" t="str">
        <x:f>HYPERLINK("https://dynamic-media-cdn.tripadvisor.com/media/photo-o/15/7c/b4/9c/air-terjun-banyu-wana.jpg?h=400&amp;s=1&amp;w=700","Tripadvisor / фото ↗")</x:f>
        <x:v>Tripadvisor / фото ↗</x:v>
      </x:c>
      <x:c r="Q17" s="8" t="str">
        <x:f>HYPERLINK("#'Места'!A76","В список →")</x:f>
        <x:v>В список →</x:v>
      </x:c>
    </x:row>
    <x:row r="18" ht="108.75" customHeight="1">
      <x:c r="A18" s="34" t="n">
        <x:v>12</x:v>
      </x:c>
      <x:c r="B18" s="17" t="str">
        <x:v>Gembleng Waterfall</x:v>
      </x:c>
      <x:c r="C18" s="16" t="str">
        <x:v>Утро</x:v>
      </x:c>
      <x:c r="D18" s="16" t="str">
        <x:v>Мало места в чашах; очереди за фото. Обратный транспорт договорить заранее.</x:v>
      </x:c>
      <x:c r="E18" s="16" t="str">
        <x:v>Willem v · 03.2025: понравились бассейны и ресторан наверху, но не получилось вызвать Grab обратно.</x:v>
      </x:c>
      <x:c r="F18" s="16" t="str">
        <x:v>Robbert V · 05.2025: красивые природные чаши; впечатление портит ожидание ради фотографий.</x:v>
      </x:c>
      <x:c r="G18" s="18" t="str">
        <x:f>HYPERLINK("https://www.tripadvisor.com/Attraction_Review-g608495-d26328021-Reviews-Gembleng_Waterfall-Sidemen_Karangasem_Bali.html","Читать ↗")</x:f>
        <x:v>Читать ↗</x:v>
      </x:c>
      <x:c r="H18" s="18" t="str">
        <x:f>HYPERLINK("https://www.tripadvisor.com/Attraction_Review-g608495-d26328021-Reviews-Gembleng_Waterfall-Sidemen_Karangasem_Bali.html","Читать ↗")</x:f>
        <x:v>Читать ↗</x:v>
      </x:c>
      <x:c r="I18" s="18" t="str">
        <x:f>HYPERLINK("https://www.tripadvisor.com/Attraction_Review-g608495-d26328021-Reviews-Gembleng_Waterfall-Sidemen_Karangasem_Bali.html","TA ↗")</x:f>
        <x:v>TA ↗</x:v>
      </x:c>
      <x:c r="J18" s="44" t="n">
        <x:v>-8.4932089</x:v>
      </x:c>
      <x:c r="K18" s="44" t="n">
        <x:v>115.462294</x:v>
      </x:c>
      <x:c r="L18" s="16" t="str">
        <x:v>Точка/центр объекта по OpenStreetMap</x:v>
      </x:c>
      <x:c r="M18" s="18" t="str">
        <x:f>HYPERLINK("https://www.openstreetmap.org/node/10701131105","Координаты ↗")</x:f>
        <x:v>Координаты ↗</x:v>
      </x:c>
      <x:c r="N18" s="16" t="str">
        <x:v>29.09.2026</x:v>
      </x:c>
      <x:c r="O18" s="16" t="str">
        <x:v>Малая: &lt;50</x:v>
      </x:c>
      <x:c r="P18" s="18" t="str">
        <x:f>HYPERLINK("https://dynamic-media-cdn.tripadvisor.com/media/photo-o/2c/cb/7a/ce/caption.jpg?h=400&amp;s=1&amp;w=700","Tripadvisor / фото ↗")</x:f>
        <x:v>Tripadvisor / фото ↗</x:v>
      </x:c>
      <x:c r="Q18" s="18" t="str">
        <x:f>HYPERLINK("#'Места'!A79","В список →")</x:f>
        <x:v>В список →</x:v>
      </x:c>
    </x:row>
    <x:row r="19" ht="108.75" customHeight="1">
      <x:c r="A19" s="34" t="n">
        <x:v>13</x:v>
      </x:c>
      <x:c r="B19" s="7" t="str">
        <x:v>Suwat Waterfall</x:v>
      </x:c>
      <x:c r="C19" s="4" t="str">
        <x:v>Утро</x:v>
      </x:c>
      <x:c r="D19" s="4" t="str">
        <x:v>Сбор устаревающий; за дополнительные фотоуслуги могут просить отдельную оплату.</x:v>
      </x:c>
      <x:c r="E19" s="4" t="str">
        <x:v>HeliosApollo · 05.2025: ухоженная тропа и удобные раздевалки внизу.</x:v>
      </x:c>
      <x:c r="F19" s="4" t="str">
        <x:v>Ellismc1 · 02.2025: не понравились очередь на фотоплот и ощущение коммерческой фотоплощадки.</x:v>
      </x:c>
      <x:c r="G19" s="8" t="str">
        <x:f>HYPERLINK("https://www.tripadvisor.com/Attraction_Review-g297695-d21270785-Reviews-Suwat_Waterfall-Gianyar_Gianyar_Regency_Bali.html","Читать ↗")</x:f>
        <x:v>Читать ↗</x:v>
      </x:c>
      <x:c r="H19" s="8" t="str">
        <x:f>HYPERLINK("https://www.tripadvisor.com/Attraction_Review-g297695-d21270785-Reviews-Suwat_Waterfall-Gianyar_Gianyar_Regency_Bali.html","Читать ↗")</x:f>
        <x:v>Читать ↗</x:v>
      </x:c>
      <x:c r="I19" s="8" t="str">
        <x:f>HYPERLINK("https://www.tripadvisor.com/Attraction_Review-g297695-d21270785-Reviews-Suwat_Waterfall-Gianyar_Gianyar_Regency_Bali.html","TA ↗")</x:f>
        <x:v>TA ↗</x:v>
      </x:c>
      <x:c r="J19" s="43" t="n">
        <x:v>-8.486301</x:v>
      </x:c>
      <x:c r="K19" s="43" t="n">
        <x:v>115.3180337</x:v>
      </x:c>
      <x:c r="L19" s="4" t="str">
        <x:v>Точка/центр объекта по OpenStreetMap</x:v>
      </x:c>
      <x:c r="M19" s="8" t="str">
        <x:f>HYPERLINK("https://www.openstreetmap.org/node/7252090985","Координаты ↗")</x:f>
        <x:v>Координаты ↗</x:v>
      </x:c>
      <x:c r="N19" s="4" t="str">
        <x:v>29.09.2026</x:v>
      </x:c>
      <x:c r="O19" s="4" t="str">
        <x:v>Малая: &lt;50</x:v>
      </x:c>
      <x:c r="P19" s="8" t="str">
        <x:f>HYPERLINK("https://dynamic-media-cdn.tripadvisor.com/media/photo-o/1c/f4/0d/83/bamboo-raft.jpg?h=400&amp;s=1&amp;w=700","Tripadvisor / фото ↗")</x:f>
        <x:v>Tripadvisor / фото ↗</x:v>
      </x:c>
      <x:c r="Q19" s="8" t="str">
        <x:f>HYPERLINK("#'Места'!A82","В список →")</x:f>
        <x:v>В список →</x:v>
      </x:c>
    </x:row>
    <x:row r="20" ht="108.75" customHeight="1">
      <x:c r="A20" s="34" t="n">
        <x:v>14</x:v>
      </x:c>
      <x:c r="B20" s="17" t="str">
        <x:v>Kanto Lampo Waterfall</x:v>
      </x:c>
      <x:c r="C20" s="16" t="str">
        <x:v>К открытию</x:v>
      </x:c>
      <x:c r="D20" s="16" t="str">
        <x:v>Скользкие острые камни; у главного кадра очередь. Уточнить обратный трансфер.</x:v>
      </x:c>
      <x:c r="E20" s="16" t="str">
        <x:v>Bianca · 12.2025: очень красиво, полезны акваобувь и помощь фотографа; много ступеней.</x:v>
      </x:c>
      <x:c r="F20" s="16" t="str">
        <x:v>travelgirl2486 · 10.2025: с детьми не захотели ждать около часа в очереди на фотографию.</x:v>
      </x:c>
      <x:c r="G20" s="18" t="str">
        <x:f>HYPERLINK("https://www.tripadvisor.com/Attraction_Review-g15245800-d9705473-Reviews-Kanto_Lampo_Waterfall-Beng_Gianyar_Gianyar_Regency_Bali.html","Читать ↗")</x:f>
        <x:v>Читать ↗</x:v>
      </x:c>
      <x:c r="H20" s="18" t="str">
        <x:f>HYPERLINK("https://www.tripadvisor.com/Attraction_Review-g15245800-d9705473-Reviews-Kanto_Lampo_Waterfall-Beng_Gianyar_Gianyar_Regency_Bali.html","Читать ↗")</x:f>
        <x:v>Читать ↗</x:v>
      </x:c>
      <x:c r="I20" s="18" t="str">
        <x:f>HYPERLINK("https://www.tripadvisor.com/Attraction_Review-g15245800-d9705473-Reviews-Kanto_Lampo_Waterfall-Beng_Gianyar_Gianyar_Regency_Bali.html","TA ↗")</x:f>
        <x:v>TA ↗</x:v>
      </x:c>
      <x:c r="J20" s="44" t="n">
        <x:v>-8.5323414</x:v>
      </x:c>
      <x:c r="K20" s="44" t="n">
        <x:v>115.3329825</x:v>
      </x:c>
      <x:c r="L20" s="16" t="str">
        <x:v>Точка/центр объекта по OpenStreetMap</x:v>
      </x:c>
      <x:c r="M20" s="18" t="str">
        <x:f>HYPERLINK("https://www.openstreetmap.org/node/5235738818","Координаты ↗")</x:f>
        <x:v>Координаты ↗</x:v>
      </x:c>
      <x:c r="N20" s="16" t="str">
        <x:v>29.09.2026</x:v>
      </x:c>
      <x:c r="O20" s="16" t="str">
        <x:v>50+ отзывов</x:v>
      </x:c>
      <x:c r="P20" s="18" t="str">
        <x:f>HYPERLINK("https://dynamic-media-cdn.tripadvisor.com/media/photo-o/16/8f/39/f1/tour-full-day-sangat.jpg?h=400&amp;s=1&amp;w=700","Tripadvisor / фото ↗")</x:f>
        <x:v>Tripadvisor / фото ↗</x:v>
      </x:c>
      <x:c r="Q20" s="18" t="str">
        <x:f>HYPERLINK("#'Места'!A54","В список →")</x:f>
        <x:v>В список →</x:v>
      </x:c>
    </x:row>
    <x:row r="21" ht="108.75" customHeight="1">
      <x:c r="A21" s="33" t="n">
        <x:v>15</x:v>
      </x:c>
      <x:c r="B21" s="7" t="str">
        <x:v>Melasti Beach Ungasan</x:v>
      </x:c>
      <x:c r="C21" s="4" t="str">
        <x:v>Утро или закат</x:v>
      </x:c>
      <x:c r="D21" s="4" t="str">
        <x:v>Пляж и beach club — разные бюджеты; пригодность для купания зависит от моря.</x:v>
      </x:c>
      <x:c r="E21" s="4" t="str">
        <x:v>Wanderer · 08.2026: вода красивая, но клубы и лежаки делают отдых дорогим.</x:v>
      </x:c>
      <x:c r="F21" s="4" t="str">
        <x:v>Irene L · 07.2026: понравились морские панорамы и виды у скал.</x:v>
      </x:c>
      <x:c r="G21" s="8" t="str">
        <x:f>HYPERLINK("https://www.tripadvisor.com/Attraction_Review-g1219108-d8011713-Reviews-Pantai_Melasti_Ungasan-Ungasan_Bukit_Peninsula_Bali.html","Читать ↗")</x:f>
        <x:v>Читать ↗</x:v>
      </x:c>
      <x:c r="H21" s="8" t="str">
        <x:f>HYPERLINK("https://www.tripadvisor.com/Attraction_Review-g1219108-d8011713-Reviews-Pantai_Melasti_Ungasan-Ungasan_Bukit_Peninsula_Bali.html","Читать ↗")</x:f>
        <x:v>Читать ↗</x:v>
      </x:c>
      <x:c r="I21" s="8" t="str">
        <x:f>HYPERLINK("https://www.tripadvisor.com/Attraction_Review-g1219108-d8011713-Reviews-Pantai_Melasti_Ungasan-Ungasan_Bukit_Peninsula_Bali.html","TA ↗")</x:f>
        <x:v>TA ↗</x:v>
      </x:c>
      <x:c r="J21" s="43" t="n">
        <x:v>-8.8482915</x:v>
      </x:c>
      <x:c r="K21" s="43" t="n">
        <x:v>115.1575716</x:v>
      </x:c>
      <x:c r="L21" s="4" t="str">
        <x:v>Точка/центр объекта по OpenStreetMap</x:v>
      </x:c>
      <x:c r="M21" s="8" t="str">
        <x:f>HYPERLINK("https://www.openstreetmap.org/relation/9754137","Координаты ↗")</x:f>
        <x:v>Координаты ↗</x:v>
      </x:c>
      <x:c r="N21" s="4" t="str">
        <x:v>29.09.2026</x:v>
      </x:c>
      <x:c r="O21" s="4" t="str">
        <x:v>50+ отзывов</x:v>
      </x:c>
      <x:c r="P21" s="8" t="str">
        <x:f>HYPERLINK("https://dynamic-media-cdn.tripadvisor.com/media/photo-o/0b/d8/3d/98/view-from-the-cliff.jpg?h=-1&amp;s=1&amp;w=700","Tripadvisor / фото ↗")</x:f>
        <x:v>Tripadvisor / фото ↗</x:v>
      </x:c>
      <x:c r="Q21" s="8" t="str">
        <x:f>HYPERLINK("#'Места'!A48","В список →")</x:f>
        <x:v>В список →</x:v>
      </x:c>
    </x:row>
    <x:row r="22" ht="108.75" customHeight="1">
      <x:c r="A22" s="33" t="n">
        <x:v>16</x:v>
      </x:c>
      <x:c r="B22" s="17" t="str">
        <x:v>Pandawa Beach</x:v>
      </x:c>
      <x:c r="C22" s="16" t="str">
        <x:v>Утро</x:v>
      </x:c>
      <x:c r="D22" s="16" t="str">
        <x:v>Открытое солнце, туристическая инфраструктура; оценить волны на месте.</x:v>
      </x:c>
      <x:c r="E22" s="16" t="str">
        <x:v>asepkuy · 08.2026: считает пляж красивым и чистым, хотел бы вернуться.</x:v>
      </x:c>
      <x:c r="F22" s="16" t="str">
        <x:v>NovalRif · 06.2026: много точек для фотографий, понравилась семейная поездка.</x:v>
      </x:c>
      <x:c r="G22" s="18" t="str">
        <x:f>HYPERLINK("https://www.tripadvisor.com/Attraction_Review-g297697-d4416527-Reviews-Pandawa_Beach-Kuta_Kuta_District_Badung_Regency_Bali.html","Читать ↗")</x:f>
        <x:v>Читать ↗</x:v>
      </x:c>
      <x:c r="H22" s="18" t="str">
        <x:f>HYPERLINK("https://www.tripadvisor.com/Attraction_Review-g297697-d4416527-Reviews-Pandawa_Beach-Kuta_Kuta_District_Badung_Regency_Bali.html","Читать ↗")</x:f>
        <x:v>Читать ↗</x:v>
      </x:c>
      <x:c r="I22" s="18" t="str">
        <x:f>HYPERLINK("https://www.tripadvisor.com/Attraction_Review-g297697-d4416527-Reviews-Pandawa_Beach-Kuta_Kuta_District_Badung_Regency_Bali.html","TA ↗")</x:f>
        <x:v>TA ↗</x:v>
      </x:c>
      <x:c r="J22" s="44" t="n">
        <x:v>-8.8458046</x:v>
      </x:c>
      <x:c r="K22" s="44" t="n">
        <x:v>115.1850876</x:v>
      </x:c>
      <x:c r="L22" s="16" t="str">
        <x:v>Точка/центр объекта по OpenStreetMap</x:v>
      </x:c>
      <x:c r="M22" s="18" t="str">
        <x:f>HYPERLINK("https://www.openstreetmap.org/way/284984714","Координаты ↗")</x:f>
        <x:v>Координаты ↗</x:v>
      </x:c>
      <x:c r="N22" s="16" t="str">
        <x:v>29.09.2026</x:v>
      </x:c>
      <x:c r="O22" s="16" t="str">
        <x:v>50+ отзывов</x:v>
      </x:c>
      <x:c r="P22" s="18" t="str">
        <x:f>HYPERLINK("https://dynamic-media-cdn.tripadvisor.com/media/photo-o/05/68/2e/aa/pantai-pendawa.jpg?h=400&amp;s=1&amp;w=700","Tripadvisor / фото ↗")</x:f>
        <x:v>Tripadvisor / фото ↗</x:v>
      </x:c>
      <x:c r="Q22" s="18" t="str">
        <x:f>HYPERLINK("#'Места'!A20","В список →")</x:f>
        <x:v>В список →</x:v>
      </x:c>
    </x:row>
    <x:row r="23" ht="108.75" customHeight="1">
      <x:c r="A23" s="33" t="n">
        <x:v>17</x:v>
      </x:c>
      <x:c r="B23" s="7" t="str">
        <x:v>Padang Padang Beach</x:v>
      </x:c>
      <x:c r="C23" s="4" t="str">
        <x:v>Рано утром</x:v>
      </x:c>
      <x:c r="D23" s="4" t="str">
        <x:v>Мало песка при приливе, тесно в сезон; лестница и обезьяны.</x:v>
      </x:c>
      <x:c r="E23" s="4" t="str">
        <x:v>Memoirs-Sachin · 12.2025: живописная бухта и необычный проход к воде.</x:v>
      </x:c>
      <x:c r="F23" s="4" t="str">
        <x:v>Anibhaduri · 11.2025: красивое, но небольшое и людное место; сильные волны.</x:v>
      </x:c>
      <x:c r="G23" s="8" t="str">
        <x:f>HYPERLINK("https://www.tripadvisor.com/Attraction_Review-g1380108-d2226754-Reviews-Padang_Padang_Beach-Pecatu_Bukit_Peninsula_Bali.html","Читать ↗")</x:f>
        <x:v>Читать ↗</x:v>
      </x:c>
      <x:c r="H23" s="8" t="str">
        <x:f>HYPERLINK("https://www.tripadvisor.com/Attraction_Review-g1380108-d2226754-Reviews-Padang_Padang_Beach-Pecatu_Bukit_Peninsula_Bali.html","Читать ↗")</x:f>
        <x:v>Читать ↗</x:v>
      </x:c>
      <x:c r="I23" s="8" t="str">
        <x:f>HYPERLINK("https://www.tripadvisor.com/Attraction_Review-g1380108-d2226754-Reviews-Padang_Padang_Beach-Pecatu_Bukit_Peninsula_Bali.html","TA ↗")</x:f>
        <x:v>TA ↗</x:v>
      </x:c>
      <x:c r="J23" s="43" t="n">
        <x:v>-8.8112154</x:v>
      </x:c>
      <x:c r="K23" s="43" t="n">
        <x:v>115.103637</x:v>
      </x:c>
      <x:c r="L23" s="4" t="str">
        <x:v>Точка/центр объекта по OpenStreetMap</x:v>
      </x:c>
      <x:c r="M23" s="8" t="str">
        <x:f>HYPERLINK("https://www.openstreetmap.org/way/156791354","Координаты ↗")</x:f>
        <x:v>Координаты ↗</x:v>
      </x:c>
      <x:c r="N23" s="4" t="str">
        <x:v>29.09.2026</x:v>
      </x:c>
      <x:c r="O23" s="4" t="str">
        <x:v>50+ отзывов</x:v>
      </x:c>
      <x:c r="P23" s="8" t="str">
        <x:f>HYPERLINK("https://dynamic-media-cdn.tripadvisor.com/media/photo-o/18/38/b0/8b/img20190704122550-largejpg.jpg?h=400&amp;s=1&amp;w=700","Tripadvisor / фото ↗")</x:f>
        <x:v>Tripadvisor / фото ↗</x:v>
      </x:c>
      <x:c r="Q23" s="8" t="str">
        <x:f>HYPERLINK("#'Места'!A25","В список →")</x:f>
        <x:v>В список →</x:v>
      </x:c>
    </x:row>
    <x:row r="24" ht="108.75" customHeight="1">
      <x:c r="A24" s="33" t="n">
        <x:v>18</x:v>
      </x:c>
      <x:c r="B24" s="17" t="str">
        <x:v>Bingin Beach</x:v>
      </x:c>
      <x:c r="C24" s="16" t="str">
        <x:v>Только после проверки состояния</x:v>
      </x:c>
      <x:c r="D24" s="16" t="str">
        <x:v>ВАЖНО: в июне 2026 оставались обломки после сноса 2025 года. Старые фото кафе неактуальны.</x:v>
      </x:c>
      <x:c r="E24" s="16" t="str">
        <x:v>Rachel M · 03.2025, ДО сноса: нравились закат и ужин на песке; это описание прежнего пляжа.</x:v>
      </x:c>
      <x:c r="F24" s="16" t="str">
        <x:v>Kieren Windsor / Bali Untold · 06.2026: при повторном визите увидел завалы; для пляжного дня предпочёл бы Balangan.</x:v>
      </x:c>
      <x:c r="G24" s="18" t="str">
        <x:f>HYPERLINK("https://www.tripadvisor.com/Attraction_Review-g1380108-d3215160-Reviews-Bingin_Beach-Pecatu_Bukit_Peninsula_Bali.html","Читать ↗")</x:f>
        <x:v>Читать ↗</x:v>
      </x:c>
      <x:c r="H24" s="18" t="str">
        <x:f>HYPERLINK("https://baliuntold.com/things-to-do/beaches/bingin-beach/","Читать ↗")</x:f>
        <x:v>Читать ↗</x:v>
      </x:c>
      <x:c r="I24" s="18" t="str">
        <x:f>HYPERLINK("https://www.tripadvisor.com/Attraction_Review-g1380108-d3215160-Reviews-Bingin_Beach-Pecatu_Bukit_Peninsula_Bali.html","TA ↗")</x:f>
        <x:v>TA ↗</x:v>
      </x:c>
      <x:c r="J24" s="44" t="n">
        <x:v>-8.8056697</x:v>
      </x:c>
      <x:c r="K24" s="44" t="n">
        <x:v>115.1130665</x:v>
      </x:c>
      <x:c r="L24" s="16" t="str">
        <x:v>Точка/центр объекта по OpenStreetMap</x:v>
      </x:c>
      <x:c r="M24" s="18" t="str">
        <x:f>HYPERLINK("https://www.openstreetmap.org/relation/9845879","Координаты ↗")</x:f>
        <x:v>Координаты ↗</x:v>
      </x:c>
      <x:c r="N24" s="16" t="str">
        <x:v>29.09.2026</x:v>
      </x:c>
      <x:c r="O24" s="16" t="str">
        <x:v>50+ отзывов</x:v>
      </x:c>
      <x:c r="P24" s="18" t="str">
        <x:f>HYPERLINK("https://dynamic-media-cdn.tripadvisor.com/media/photo-o/09/fa/73/70/bingin-beach.jpg?h=400&amp;s=1&amp;w=700","Tripadvisor / фото ↗")</x:f>
        <x:v>Tripadvisor / фото ↗</x:v>
      </x:c>
      <x:c r="Q24" s="18" t="str">
        <x:f>HYPERLINK("#'Места'!A44","В список →")</x:f>
        <x:v>В список →</x:v>
      </x:c>
    </x:row>
    <x:row r="25" ht="108.75" customHeight="1">
      <x:c r="A25" s="33" t="n">
        <x:v>19</x:v>
      </x:c>
      <x:c r="B25" s="7" t="str">
        <x:v>Balangan Beach</x:v>
      </x:c>
      <x:c r="C25" s="4" t="str">
        <x:v>Закат; берег с учётом прилива</x:v>
      </x:c>
      <x:c r="D25" s="4" t="str">
        <x:v>Риф и волны; не подходить к неогороженному краю скалы.</x:v>
      </x:c>
      <x:c r="E25" s="4" t="str">
        <x:v>Heidi T · 07.2026: понравились естественный пляж и пещеры, видимые на отливе.</x:v>
      </x:c>
      <x:c r="F25" s="4" t="str">
        <x:v>Nouislife · 06.2026: оценивает пляж как чистый и менее переполненный.</x:v>
      </x:c>
      <x:c r="G25" s="8" t="str">
        <x:f>HYPERLINK("https://www.tripadvisor.com/Attraction_Review-g297697-d3608315-Reviews-Balangan_Beach-Kuta_Kuta_District_Badung_Regency_Bali.html","Читать ↗")</x:f>
        <x:v>Читать ↗</x:v>
      </x:c>
      <x:c r="H25" s="8" t="str">
        <x:f>HYPERLINK("https://www.tripadvisor.com/Attraction_Review-g297697-d3608315-Reviews-Balangan_Beach-Kuta_Kuta_District_Badung_Regency_Bali.html","Читать ↗")</x:f>
        <x:v>Читать ↗</x:v>
      </x:c>
      <x:c r="I25" s="8" t="str">
        <x:f>HYPERLINK("https://www.tripadvisor.com/Attraction_Review-g297697-d3608315-Reviews-Balangan_Beach-Kuta_Kuta_District_Badung_Regency_Bali.html","TA ↗")</x:f>
        <x:v>TA ↗</x:v>
      </x:c>
      <x:c r="J25" s="43" t="n">
        <x:v>-8.7923274</x:v>
      </x:c>
      <x:c r="K25" s="43" t="n">
        <x:v>115.1231962</x:v>
      </x:c>
      <x:c r="L25" s="4" t="str">
        <x:v>Точка/центр объекта по OpenStreetMap</x:v>
      </x:c>
      <x:c r="M25" s="8" t="str">
        <x:f>HYPERLINK("https://www.openstreetmap.org/way/128027878","Координаты ↗")</x:f>
        <x:v>Координаты ↗</x:v>
      </x:c>
      <x:c r="N25" s="4" t="str">
        <x:v>29.09.2026</x:v>
      </x:c>
      <x:c r="O25" s="4" t="str">
        <x:v>50+ отзывов</x:v>
      </x:c>
      <x:c r="P25" s="8" t="str">
        <x:f>HYPERLINK("https://dynamic-media-cdn.tripadvisor.com/media/photo-o/0a/b7/df/8e/balangan-beach-jimbaran.jpg?h=-1&amp;s=1&amp;w=700","Tripadvisor / фото ↗")</x:f>
        <x:v>Tripadvisor / фото ↗</x:v>
      </x:c>
      <x:c r="Q25" s="8" t="str">
        <x:f>HYPERLINK("#'Места'!A38","В список →")</x:f>
        <x:v>В список →</x:v>
      </x:c>
    </x:row>
    <x:row r="26" ht="108.75" customHeight="1">
      <x:c r="A26" s="33" t="n">
        <x:v>20</x:v>
      </x:c>
      <x:c r="B26" s="17" t="str">
        <x:v>Suluban Beach</x:v>
      </x:c>
      <x:c r="C26" s="16" t="str">
        <x:v>Отлив по таблице приливов</x:v>
      </x:c>
      <x:c r="D26" s="16" t="str">
        <x:v>На приливе проход заливает. Место для видов и серфа, а не спокойного заплыва.</x:v>
      </x:c>
      <x:c r="E26" s="16" t="str">
        <x:v>BirgittaKenneth · 11.2025: крутой подход и серф для опытных; не лучший пляж для лежания на песке.</x:v>
      </x:c>
      <x:c r="F26" s="16" t="str">
        <x:v>ILoveToRoam · 03.2026: красивые кадры и кафе по дороге к скалам.</x:v>
      </x:c>
      <x:c r="G26" s="18" t="str">
        <x:f>HYPERLINK("https://www.tripadvisor.com/Attraction_Review-g1380108-d1555393-Reviews-Suluban_Beach-Pecatu_Bukit_Peninsula_Bali.html","Читать ↗")</x:f>
        <x:v>Читать ↗</x:v>
      </x:c>
      <x:c r="H26" s="18" t="str">
        <x:f>HYPERLINK("https://www.tripadvisor.com/Attraction_Review-g1380108-d1555393-Reviews-Suluban_Beach-Pecatu_Bukit_Peninsula_Bali.html","Читать ↗")</x:f>
        <x:v>Читать ↗</x:v>
      </x:c>
      <x:c r="I26" s="18" t="str">
        <x:f>HYPERLINK("https://www.tripadvisor.com/Attraction_Review-g1380108-d1555393-Reviews-Suluban_Beach-Pecatu_Bukit_Peninsula_Bali.html","TA ↗")</x:f>
        <x:v>TA ↗</x:v>
      </x:c>
      <x:c r="J26" s="44" t="n">
        <x:v>-8.8155477</x:v>
      </x:c>
      <x:c r="K26" s="44" t="n">
        <x:v>115.088317</x:v>
      </x:c>
      <x:c r="L26" s="16" t="str">
        <x:v>Точка/центр объекта по OpenStreetMap</x:v>
      </x:c>
      <x:c r="M26" s="18" t="str">
        <x:f>HYPERLINK("https://www.openstreetmap.org/node/6278550285","Координаты ↗")</x:f>
        <x:v>Координаты ↗</x:v>
      </x:c>
      <x:c r="N26" s="16" t="str">
        <x:v>29.09.2026</x:v>
      </x:c>
      <x:c r="O26" s="16" t="str">
        <x:v>50+ отзывов</x:v>
      </x:c>
      <x:c r="P26" s="18" t="str">
        <x:f>HYPERLINK("https://dynamic-media-cdn.tripadvisor.com/media/photo-o/05/ef/60/79/suluban-beach.jpg?h=400&amp;s=1&amp;w=700","Tripadvisor / фото ↗")</x:f>
        <x:v>Tripadvisor / фото ↗</x:v>
      </x:c>
      <x:c r="Q26" s="18" t="str">
        <x:f>HYPERLINK("#'Места'!A55","В список →")</x:f>
        <x:v>В список →</x:v>
      </x:c>
    </x:row>
    <x:row r="27" ht="108.75" customHeight="1">
      <x:c r="A27" s="33" t="n">
        <x:v>21</x:v>
      </x:c>
      <x:c r="B27" s="7" t="str">
        <x:v>Nyang Nyang Beach</x:v>
      </x:c>
      <x:c r="C27" s="4" t="str">
        <x:v>Утро или ближе к вечеру</x:v>
      </x:c>
      <x:c r="D27" s="4" t="str">
        <x:v>Крутой подход, мало тени; взять воду. Океан бывает сильным.</x:v>
      </x:c>
      <x:c r="E27" s="4" t="str">
        <x:v>Normalia P · 12.2025: мало людей и серферов; нужна вода, тени почти нет.</x:v>
      </x:c>
      <x:c r="F27" s="4" t="str">
        <x:v>vitorbabrazil · 08.2024: красивый пляж, но возвращаться наверх тяжело.</x:v>
      </x:c>
      <x:c r="G27" s="8" t="str">
        <x:f>HYPERLINK("https://www.tripadvisor.com/Attraction_Review-g1380108-d7043534-Reviews-Nyang_nyang_Beach-Pecatu_Bukit_Peninsula_Bali.html","Читать ↗")</x:f>
        <x:v>Читать ↗</x:v>
      </x:c>
      <x:c r="H27" s="8" t="str">
        <x:f>HYPERLINK("https://www.tripadvisor.com/Attraction_Review-g1380108-d7043534-Reviews-Nyang_nyang_Beach-Pecatu_Bukit_Peninsula_Bali.html","Читать ↗")</x:f>
        <x:v>Читать ↗</x:v>
      </x:c>
      <x:c r="I27" s="8" t="str">
        <x:f>HYPERLINK("https://www.tripadvisor.com/Attraction_Review-g1380108-d7043534-Reviews-Nyang_nyang_Beach-Pecatu_Bukit_Peninsula_Bali.html","TA ↗")</x:f>
        <x:v>TA ↗</x:v>
      </x:c>
      <x:c r="J27" s="43" t="n">
        <x:v>-8.8397509</x:v>
      </x:c>
      <x:c r="K27" s="43" t="n">
        <x:v>115.0943268</x:v>
      </x:c>
      <x:c r="L27" s="4" t="str">
        <x:v>Точка/центр объекта по OpenStreetMap</x:v>
      </x:c>
      <x:c r="M27" s="8" t="str">
        <x:f>HYPERLINK("https://www.openstreetmap.org/way/404236273","Координаты ↗")</x:f>
        <x:v>Координаты ↗</x:v>
      </x:c>
      <x:c r="N27" s="4" t="str">
        <x:v>29.09.2026</x:v>
      </x:c>
      <x:c r="O27" s="4" t="str">
        <x:v>50+ отзывов</x:v>
      </x:c>
      <x:c r="P27" s="8" t="str">
        <x:f>HYPERLINK("https://dynamic-media-cdn.tripadvisor.com/media/photo-o/17/95/62/94/beach.jpg?h=400&amp;s=1&amp;w=700","Tripadvisor / фото ↗")</x:f>
        <x:v>Tripadvisor / фото ↗</x:v>
      </x:c>
      <x:c r="Q27" s="8" t="str">
        <x:f>HYPERLINK("#'Места'!A65","В список →")</x:f>
        <x:v>В список →</x:v>
      </x:c>
    </x:row>
    <x:row r="28" ht="108.75" customHeight="1">
      <x:c r="A28" s="33" t="n">
        <x:v>22</x:v>
      </x:c>
      <x:c r="B28" s="17" t="str">
        <x:v>Gunung Payung Beach</x:v>
      </x:c>
      <x:c r="C28" s="16" t="str">
        <x:v>Утро</x:v>
      </x:c>
      <x:c r="D28" s="16" t="str">
        <x:v>Лестница либо шаттл; бывают сильное течение и волны.</x:v>
      </x:c>
      <x:c r="E28" s="16" t="str">
        <x:v>Viktoriia · 08.2026: чистая вода и тишина, но сильное течение и ощутимые расходы.</x:v>
      </x:c>
      <x:c r="F28" s="16" t="str">
        <x:v>missusy · 09.2025: пользовалась шаттлом; волны были слишком большими для купания.</x:v>
      </x:c>
      <x:c r="G28" s="18" t="str">
        <x:f>HYPERLINK("https://www.tripadvisor.com/Attraction_Review-g1191333-d6370370-Reviews-Pantai_Gunung_Payung-Nusa_Dua_Peninsula_Bali.html","Читать ↗")</x:f>
        <x:v>Читать ↗</x:v>
      </x:c>
      <x:c r="H28" s="18" t="str">
        <x:f>HYPERLINK("https://www.tripadvisor.com/Attraction_Review-g1191333-d6370370-Reviews-Pantai_Gunung_Payung-Nusa_Dua_Peninsula_Bali.html","Читать ↗")</x:f>
        <x:v>Читать ↗</x:v>
      </x:c>
      <x:c r="I28" s="18" t="str">
        <x:f>HYPERLINK("https://www.tripadvisor.com/Attraction_Review-g1191333-d6370370-Reviews-Pantai_Gunung_Payung-Nusa_Dua_Peninsula_Bali.html","TA ↗")</x:f>
        <x:v>TA ↗</x:v>
      </x:c>
      <x:c r="J28" s="44" t="n">
        <x:v>-8.8411252</x:v>
      </x:c>
      <x:c r="K28" s="44" t="n">
        <x:v>115.1988217</x:v>
      </x:c>
      <x:c r="L28" s="16" t="str">
        <x:v>Точка/центр объекта по OpenStreetMap</x:v>
      </x:c>
      <x:c r="M28" s="18" t="str">
        <x:f>HYPERLINK("https://www.openstreetmap.org/node/12843473401","Координаты ↗")</x:f>
        <x:v>Координаты ↗</x:v>
      </x:c>
      <x:c r="N28" s="16" t="str">
        <x:v>29.09.2026</x:v>
      </x:c>
      <x:c r="O28" s="16" t="str">
        <x:v>50+ отзывов</x:v>
      </x:c>
      <x:c r="P28" s="18" t="str">
        <x:f>HYPERLINK("https://dynamic-media-cdn.tripadvisor.com/media/photo-o/0d/41/04/04/view-from-the-stairs.jpg?h=400&amp;s=1&amp;w=700","Tripadvisor / фото ↗")</x:f>
        <x:v>Tripadvisor / фото ↗</x:v>
      </x:c>
      <x:c r="Q28" s="18" t="str">
        <x:f>HYPERLINK("#'Места'!A71","В список →")</x:f>
        <x:v>В список →</x:v>
      </x:c>
    </x:row>
    <x:row r="29" ht="108.75" customHeight="1">
      <x:c r="A29" s="33" t="n">
        <x:v>23</x:v>
      </x:c>
      <x:c r="B29" s="7" t="str">
        <x:v>Green Bowl Beach</x:v>
      </x:c>
      <x:c r="C29" s="4" t="str">
        <x:v>Отлив по прогнозу</x:v>
      </x:c>
      <x:c r="D29" s="4" t="str">
        <x:v>Длинная лестница обратно, прилив съедает песок; возможны навязчивые продавцы.</x:v>
      </x:c>
      <x:c r="E29" s="4" t="str">
        <x:v>Dwi · 11.2025: виды оправдывают усилия, но подъём потребовал много сил.</x:v>
      </x:c>
      <x:c r="F29" s="4" t="str">
        <x:v>Andreas P · 06.2025: песок и вода понравились; лестница оказалась утомительной.</x:v>
      </x:c>
      <x:c r="G29" s="8" t="str">
        <x:f>HYPERLINK("https://www.tripadvisor.com/Attraction_Review-g1219108-d2032815-Reviews-Pantai_Green_Bowl-Ungasan_Bukit_Peninsula_Bali.html","Читать ↗")</x:f>
        <x:v>Читать ↗</x:v>
      </x:c>
      <x:c r="H29" s="8" t="str">
        <x:f>HYPERLINK("https://www.tripadvisor.com/Attraction_Review-g1219108-d2032815-Reviews-Pantai_Green_Bowl-Ungasan_Bukit_Peninsula_Bali.html","Читать ↗")</x:f>
        <x:v>Читать ↗</x:v>
      </x:c>
      <x:c r="I29" s="8" t="str">
        <x:f>HYPERLINK("https://www.tripadvisor.com/Attraction_Review-g1219108-d2032815-Reviews-Pantai_Green_Bowl-Ungasan_Bukit_Peninsula_Bali.html","TA ↗")</x:f>
        <x:v>TA ↗</x:v>
      </x:c>
      <x:c r="J29" s="43" t="n">
        <x:v>-8.8486313</x:v>
      </x:c>
      <x:c r="K29" s="43" t="n">
        <x:v>115.1710541</x:v>
      </x:c>
      <x:c r="L29" s="4" t="str">
        <x:v>Точка/центр объекта по OpenStreetMap</x:v>
      </x:c>
      <x:c r="M29" s="8" t="str">
        <x:f>HYPERLINK("https://www.openstreetmap.org/node/4279662490","Координаты ↗")</x:f>
        <x:v>Координаты ↗</x:v>
      </x:c>
      <x:c r="N29" s="4" t="str">
        <x:v>29.09.2026</x:v>
      </x:c>
      <x:c r="O29" s="4" t="str">
        <x:v>50+ отзывов</x:v>
      </x:c>
      <x:c r="P29" s="8" t="str">
        <x:f>HYPERLINK("https://dynamic-media-cdn.tripadvisor.com/media/photo-o/07/fe/7e/1f/green-bowl-beach.jpg?h=400&amp;s=1&amp;w=700","Tripadvisor / фото ↗")</x:f>
        <x:v>Tripadvisor / фото ↗</x:v>
      </x:c>
      <x:c r="Q29" s="8" t="str">
        <x:f>HYPERLINK("#'Места'!A53","В список →")</x:f>
        <x:v>В список →</x:v>
      </x:c>
    </x:row>
    <x:row r="30" ht="108.75" customHeight="1">
      <x:c r="A30" s="33" t="n">
        <x:v>24</x:v>
      </x:c>
      <x:c r="B30" s="17" t="str">
        <x:v>Virgin Beach</x:v>
      </x:c>
      <x:c r="C30" s="16" t="str">
        <x:v>Утро</x:v>
      </x:c>
      <x:c r="D30" s="16" t="str">
        <x:v>Подъезды с разных сторон; волны меняются, безопасное купание не гарантировано.</x:v>
      </x:c>
      <x:c r="E30" s="16" t="str">
        <x:v>Memoirs-Sachin · 12.2025: спокойная вечерняя остановка с красивой дорогой к пляжу.</x:v>
      </x:c>
      <x:c r="F30" s="16" t="str">
        <x:v>earguy · 03.2025: прозрачная вода и скалы, появились удобный подъезд и кафе.</x:v>
      </x:c>
      <x:c r="G30" s="18" t="str">
        <x:f>HYPERLINK("https://www.tripadvisor.com/Attraction_Review-g20309582-d10802002-Reviews-Virgin_Beach-Sengkidu_Manggis_Bali.html","Читать ↗")</x:f>
        <x:v>Читать ↗</x:v>
      </x:c>
      <x:c r="H30" s="18" t="str">
        <x:f>HYPERLINK("https://www.tripadvisor.com/Attraction_Review-g20309582-d10802002-Reviews-Virgin_Beach-Sengkidu_Manggis_Bali.html","Читать ↗")</x:f>
        <x:v>Читать ↗</x:v>
      </x:c>
      <x:c r="I30" s="18" t="str">
        <x:f>HYPERLINK("https://www.tripadvisor.com/Attraction_Review-g20309582-d10802002-Reviews-Virgin_Beach-Sengkidu_Manggis_Bali.html","TA ↗")</x:f>
        <x:v>TA ↗</x:v>
      </x:c>
      <x:c r="J30" s="44" t="n">
        <x:v>-8.501965</x:v>
      </x:c>
      <x:c r="K30" s="44" t="n">
        <x:v>115.6097478</x:v>
      </x:c>
      <x:c r="L30" s="16" t="str">
        <x:v>Точка/центр объекта по OpenStreetMap</x:v>
      </x:c>
      <x:c r="M30" s="18" t="str">
        <x:f>HYPERLINK("https://www.openstreetmap.org/node/13092287340","Координаты ↗")</x:f>
        <x:v>Координаты ↗</x:v>
      </x:c>
      <x:c r="N30" s="16" t="str">
        <x:v>29.09.2026</x:v>
      </x:c>
      <x:c r="O30" s="16" t="str">
        <x:v>50+ отзывов</x:v>
      </x:c>
      <x:c r="P30" s="18" t="str">
        <x:f>HYPERLINK("https://dynamic-media-cdn.tripadvisor.com/media/photo-o/17/0f/c7/bb/20190405-122432-largejpg.jpg?h=-1&amp;s=1&amp;w=700","Tripadvisor / фото ↗")</x:f>
        <x:v>Tripadvisor / фото ↗</x:v>
      </x:c>
      <x:c r="Q30" s="18" t="str">
        <x:f>HYPERLINK("#'Места'!A63","В список →")</x:f>
        <x:v>В список →</x:v>
      </x:c>
    </x:row>
    <x:row r="31" ht="108.75" customHeight="1">
      <x:c r="A31" s="33" t="n">
        <x:v>25</x:v>
      </x:c>
      <x:c r="B31" s="7" t="str">
        <x:v>Jemeluk Beach</x:v>
      </x:c>
      <x:c r="C31" s="4" t="str">
        <x:v>Утро при спокойном море</x:v>
      </x:c>
      <x:c r="D31" s="4" t="str">
        <x:v>Кораллы и лодки; не вставать на риф, состояние моря уточнить у местных.</x:v>
      </x:c>
      <x:c r="E31" s="4" t="str">
        <x:v>ACH1171 · 08.2026: понравились рыбы, кораллы справа в бухте и подводный храм.</x:v>
      </x:c>
      <x:c r="F31" s="4" t="str">
        <x:v>SydnTooli · 07.2025: огорчило, что посетители повреждают кораллы.</x:v>
      </x:c>
      <x:c r="G31" s="8" t="str">
        <x:f>HYPERLINK("https://www.tripadvisor.com/Attraction_Review-g608478-d6515924-Reviews-Jemeluk_Beach-Amed_Abang_Karangasem_Bali.html","Читать ↗")</x:f>
        <x:v>Читать ↗</x:v>
      </x:c>
      <x:c r="H31" s="8" t="str">
        <x:f>HYPERLINK("https://www.tripadvisor.com/Attraction_Review-g608478-d6515924-Reviews-Jemeluk_Beach-Amed_Abang_Karangasem_Bali.html","Читать ↗")</x:f>
        <x:v>Читать ↗</x:v>
      </x:c>
      <x:c r="I31" s="8" t="str">
        <x:f>HYPERLINK("https://www.tripadvisor.com/Attraction_Review-g608478-d6515924-Reviews-Jemeluk_Beach-Amed_Abang_Karangasem_Bali.html","TA ↗")</x:f>
        <x:v>TA ↗</x:v>
      </x:c>
      <x:c r="J31" s="43" t="n">
        <x:v>-8.3381438</x:v>
      </x:c>
      <x:c r="K31" s="43" t="n">
        <x:v>115.660296</x:v>
      </x:c>
      <x:c r="L31" s="4" t="str">
        <x:v>Точка у берега бухты</x:v>
      </x:c>
      <x:c r="M31" s="8" t="str">
        <x:f>HYPERLINK("https://beach-spot.com/beach/pantai-jemeluk/","Координаты ↗")</x:f>
        <x:v>Координаты ↗</x:v>
      </x:c>
      <x:c r="N31" s="4" t="str">
        <x:v>29.09.2026</x:v>
      </x:c>
      <x:c r="O31" s="4" t="str">
        <x:v>50+ отзывов</x:v>
      </x:c>
      <x:c r="P31" s="8" t="str">
        <x:f>HYPERLINK("https://dynamic-media-cdn.tripadvisor.com/media/photo-o/0a/bc/43/17/pano-20160320-101233.jpg?h=400&amp;s=1&amp;w=700","Tripadvisor / фото ↗")</x:f>
        <x:v>Tripadvisor / фото ↗</x:v>
      </x:c>
      <x:c r="Q31" s="8" t="str">
        <x:f>HYPERLINK("#'Места'!A41","В список →")</x:f>
        <x:v>В список →</x:v>
      </x:c>
    </x:row>
    <x:row r="32" ht="108.75" customHeight="1">
      <x:c r="A32" s="33" t="n">
        <x:v>26</x:v>
      </x:c>
      <x:c r="B32" s="17" t="str">
        <x:v>Sanur Beach</x:v>
      </x:c>
      <x:c r="C32" s="16" t="str">
        <x:v>Рассвет</x:v>
      </x:c>
      <x:c r="D32" s="16" t="str">
        <x:v>На отливе очень мелко; набережная общая для пешеходов и велосипедов.</x:v>
      </x:c>
      <x:c r="E32" s="16" t="str">
        <x:v>Wahyu Nugraha · 08.2025: хороший рассвет, прогулки и кафе; местами наносит мусор.</x:v>
      </x:c>
      <x:c r="F32" s="16" t="str">
        <x:v>Peter M · 06.2025: удобная набережная, но плавание сильно зависит от прилива.</x:v>
      </x:c>
      <x:c r="G32" s="18" t="str">
        <x:f>HYPERLINK("https://www.tripadvisor.com/Attraction_Review-g297700-d1721869-Reviews-Sanur_Beach-Sanur_Denpasar_Bali.html","Читать ↗")</x:f>
        <x:v>Читать ↗</x:v>
      </x:c>
      <x:c r="H32" s="18" t="str">
        <x:f>HYPERLINK("https://www.tripadvisor.com/Attraction_Review-g297700-d1721869-Reviews-Sanur_Beach-Sanur_Denpasar_Bali.html","Читать ↗")</x:f>
        <x:v>Читать ↗</x:v>
      </x:c>
      <x:c r="I32" s="18" t="str">
        <x:f>HYPERLINK("https://www.tripadvisor.com/Attraction_Review-g297700-d1721869-Reviews-Sanur_Beach-Sanur_Denpasar_Bali.html","TA ↗")</x:f>
        <x:v>TA ↗</x:v>
      </x:c>
      <x:c r="J32" s="44" t="n">
        <x:v>-8.6737949</x:v>
      </x:c>
      <x:c r="K32" s="44" t="n">
        <x:v>115.2626771</x:v>
      </x:c>
      <x:c r="L32" s="16" t="str">
        <x:v>Ориентир района/территории; вход уточнить</x:v>
      </x:c>
      <x:c r="M32" s="18" t="str">
        <x:f>HYPERLINK("https://www.openstreetmap.org/node/3261318061","Координаты ↗")</x:f>
        <x:v>Координаты ↗</x:v>
      </x:c>
      <x:c r="N32" s="16" t="str">
        <x:v>29.09.2026</x:v>
      </x:c>
      <x:c r="O32" s="16" t="str">
        <x:v>50+ отзывов</x:v>
      </x:c>
      <x:c r="P32" s="18" t="str">
        <x:f>HYPERLINK("https://dynamic-media-cdn.tripadvisor.com/media/photo-o/0e/2c/1c/04/sanur-beach.jpg?h=-1&amp;s=1&amp;w=700","Tripadvisor / фото ↗")</x:f>
        <x:v>Tripadvisor / фото ↗</x:v>
      </x:c>
      <x:c r="Q32" s="18" t="str">
        <x:f>HYPERLINK("#'Места'!A15","В список →")</x:f>
        <x:v>В список →</x:v>
      </x:c>
    </x:row>
    <x:row r="33" ht="108.75" customHeight="1">
      <x:c r="A33" s="33" t="n">
        <x:v>27</x:v>
      </x:c>
      <x:c r="B33" s="7" t="str">
        <x:v>Kelingking Beach</x:v>
      </x:c>
      <x:c r="C33" s="4" t="str">
        <x:v>Рано утром</x:v>
      </x:c>
      <x:c r="D33" s="4" t="str">
        <x:v>Отдельный остров. Крутой спуск и опасный прибой; для большинства достаточно смотровой.</x:v>
      </x:c>
      <x:c r="E33" s="4" t="str">
        <x:v>LI GUOW · 09.2025: великолепная панорама, но спуск и подъём очень тяжёлые.</x:v>
      </x:c>
      <x:c r="F33" s="4" t="str">
        <x:v>Frank Benoit · 09.2026: жалуется на толпу у смотровой, тесноту и мусор по дороге.</x:v>
      </x:c>
      <x:c r="G33" s="8" t="str">
        <x:f>HYPERLINK("https://www.tripadvisor.com/Attraction_Review-g2538506-d12396108-Reviews-Kelingking_Beach-Nusa_Penida_Bali.html","Читать ↗")</x:f>
        <x:v>Читать ↗</x:v>
      </x:c>
      <x:c r="H33" s="8" t="str">
        <x:f>HYPERLINK("https://www.tripadvisor.com/Attraction_Review-g2538506-d12396108-Reviews-Kelingking_Beach-Nusa_Penida_Bali.html","Читать ↗")</x:f>
        <x:v>Читать ↗</x:v>
      </x:c>
      <x:c r="I33" s="8" t="str">
        <x:f>HYPERLINK("https://www.tripadvisor.com/Attraction_Review-g2538506-d12396108-Reviews-Kelingking_Beach-Nusa_Penida_Bali.html","TA ↗")</x:f>
        <x:v>TA ↗</x:v>
      </x:c>
      <x:c r="J33" s="43" t="n">
        <x:v>-8.751263</x:v>
      </x:c>
      <x:c r="K33" s="43" t="n">
        <x:v>115.4731315</x:v>
      </x:c>
      <x:c r="L33" s="4" t="str">
        <x:v>Точка/центр объекта по OpenStreetMap</x:v>
      </x:c>
      <x:c r="M33" s="8" t="str">
        <x:f>HYPERLINK("https://www.openstreetmap.org/relation/9869698","Координаты ↗")</x:f>
        <x:v>Координаты ↗</x:v>
      </x:c>
      <x:c r="N33" s="4" t="str">
        <x:v>29.09.2026</x:v>
      </x:c>
      <x:c r="O33" s="4" t="str">
        <x:v>50+ отзывов</x:v>
      </x:c>
      <x:c r="P33" s="8" t="str">
        <x:f>HYPERLINK("https://dynamic-media-cdn.tripadvisor.com/media/photo-o/1a/ee/bb/7f/amazing.jpg?h=400&amp;s=1&amp;w=700","Tripadvisor / фото ↗")</x:f>
        <x:v>Tripadvisor / фото ↗</x:v>
      </x:c>
      <x:c r="Q33" s="8" t="str">
        <x:f>HYPERLINK("#'Места'!A31","В список →")</x:f>
        <x:v>В список →</x:v>
      </x:c>
    </x:row>
    <x:row r="34" ht="108.75" customHeight="1">
      <x:c r="A34" s="33" t="n">
        <x:v>28</x:v>
      </x:c>
      <x:c r="B34" s="17" t="str">
        <x:v>Diamond Beach</x:v>
      </x:c>
      <x:c r="C34" s="16" t="str">
        <x:v>Утро</x:v>
      </x:c>
      <x:c r="D34" s="16" t="str">
        <x:v>Очень крутая лестница; безопаснее ограничиться видом сверху. Не планировать заплыв.</x:v>
      </x:c>
      <x:c r="E34" s="16" t="str">
        <x:v>Peter Joseph Kuhn · 02.2024: выдающийся пейзаж, длинная дорога; предостерегает от купания из-за волн.</x:v>
      </x:c>
      <x:c r="F34" s="16" t="str">
        <x:v>Melissa R · 09.2024: виды стоят спуска, но инфраструктура осталась наверху.</x:v>
      </x:c>
      <x:c r="G34" s="18" t="str">
        <x:f>HYPERLINK("https://www.tripadvisor.com/Attraction_Review-g2538506-d15142231-Reviews-Pantai_Diamond-Nusa_Penida_Bali.html","Читать ↗")</x:f>
        <x:v>Читать ↗</x:v>
      </x:c>
      <x:c r="H34" s="18" t="str">
        <x:f>HYPERLINK("https://www.tripadvisor.com/Attraction_Review-g2538506-d15142231-Reviews-Pantai_Diamond-Nusa_Penida_Bali.html","Читать ↗")</x:f>
        <x:v>Читать ↗</x:v>
      </x:c>
      <x:c r="I34" s="18" t="str">
        <x:f>HYPERLINK("https://www.tripadvisor.com/Attraction_Review-g2538506-d15142231-Reviews-Pantai_Diamond-Nusa_Penida_Bali.html","TA ↗")</x:f>
        <x:v>TA ↗</x:v>
      </x:c>
      <x:c r="J34" s="44" t="n">
        <x:v>-8.7761357</x:v>
      </x:c>
      <x:c r="K34" s="44" t="n">
        <x:v>115.6186362</x:v>
      </x:c>
      <x:c r="L34" s="16" t="str">
        <x:v>Точка/центр объекта по OpenStreetMap</x:v>
      </x:c>
      <x:c r="M34" s="18" t="str">
        <x:f>HYPERLINK("https://www.openstreetmap.org/way/239789275","Координаты ↗")</x:f>
        <x:v>Координаты ↗</x:v>
      </x:c>
      <x:c r="N34" s="16" t="str">
        <x:v>29.09.2026</x:v>
      </x:c>
      <x:c r="O34" s="16" t="str">
        <x:v>50+ отзывов</x:v>
      </x:c>
      <x:c r="P34" s="18" t="str">
        <x:f>HYPERLINK("https://dynamic-media-cdn.tripadvisor.com/media/photo-o/17/a7/d8/9e/pantai-diamond.jpg?h=400&amp;s=1&amp;w=700","Tripadvisor / фото ↗")</x:f>
        <x:v>Tripadvisor / фото ↗</x:v>
      </x:c>
      <x:c r="Q34" s="18" t="str">
        <x:f>HYPERLINK("#'Места'!A69","В список →")</x:f>
        <x:v>В список →</x:v>
      </x:c>
    </x:row>
    <x:row r="35" ht="108.75" customHeight="1">
      <x:c r="A35" s="33" t="n">
        <x:v>29</x:v>
      </x:c>
      <x:c r="B35" s="7" t="str">
        <x:v>Atuh Beach</x:v>
      </x:c>
      <x:c r="C35" s="4" t="str">
        <x:v>Утро</x:v>
      </x:c>
      <x:c r="D35" s="4" t="str">
        <x:v>Лестницы; сочетать с Diamond. Восток и запад Пениды лучше разделить.</x:v>
      </x:c>
      <x:c r="E35" s="4" t="str">
        <x:v>Lesmondo23 · 07.2026: красивый пляж, прозрачная вода и приятный варунг.</x:v>
      </x:c>
      <x:c r="F35" s="4" t="str">
        <x:v>franck06210 · 04.2026: чистый песок, но есть расходы на стоянку и лежаки.</x:v>
      </x:c>
      <x:c r="G35" s="8" t="str">
        <x:f>HYPERLINK("https://www.tripadvisor.com/Attraction_Review-g2538506-d7047720-Reviews-Atuh_Beach-Nusa_Penida_Bali.html","Читать ↗")</x:f>
        <x:v>Читать ↗</x:v>
      </x:c>
      <x:c r="H35" s="8" t="str">
        <x:f>HYPERLINK("https://www.tripadvisor.com/Attraction_Review-g2538506-d7047720-Reviews-Atuh_Beach-Nusa_Penida_Bali.html","Читать ↗")</x:f>
        <x:v>Читать ↗</x:v>
      </x:c>
      <x:c r="I35" s="8" t="str">
        <x:f>HYPERLINK("https://www.tripadvisor.com/Attraction_Review-g2538506-d7047720-Reviews-Atuh_Beach-Nusa_Penida_Bali.html","TA ↗")</x:f>
        <x:v>TA ↗</x:v>
      </x:c>
      <x:c r="J35" s="43" t="n">
        <x:v>-8.7733267</x:v>
      </x:c>
      <x:c r="K35" s="43" t="n">
        <x:v>115.62158</x:v>
      </x:c>
      <x:c r="L35" s="4" t="str">
        <x:v>Точка/центр объекта по OpenStreetMap</x:v>
      </x:c>
      <x:c r="M35" s="8" t="str">
        <x:f>HYPERLINK("https://www.openstreetmap.org/relation/9880226","Координаты ↗")</x:f>
        <x:v>Координаты ↗</x:v>
      </x:c>
      <x:c r="N35" s="4" t="str">
        <x:v>29.09.2026</x:v>
      </x:c>
      <x:c r="O35" s="4" t="str">
        <x:v>50+ отзывов</x:v>
      </x:c>
      <x:c r="P35" s="8" t="str">
        <x:f>HYPERLINK("https://dynamic-media-cdn.tripadvisor.com/media/photo-o/11/fb/a7/e1/dsc-0322-largejpg.jpg?h=400&amp;s=1&amp;w=700","Tripadvisor / фото ↗")</x:f>
        <x:v>Tripadvisor / фото ↗</x:v>
      </x:c>
      <x:c r="Q35" s="8" t="str">
        <x:f>HYPERLINK("#'Места'!A56","В список →")</x:f>
        <x:v>В список →</x:v>
      </x:c>
    </x:row>
    <x:row r="36" ht="108.75" customHeight="1">
      <x:c r="A36" s="33" t="n">
        <x:v>30</x:v>
      </x:c>
      <x:c r="B36" s="17" t="str">
        <x:v>Crystal Bay</x:v>
      </x:c>
      <x:c r="C36" s="16" t="str">
        <x:v>Утро или закат</x:v>
      </x:c>
      <x:c r="D36" s="16" t="str">
        <x:v>Лодки и течения; утром обычно спокойнее по людям, после обеда приезжают группы.</x:v>
      </x:c>
      <x:c r="E36" s="16" t="str">
        <x:v>Chiara · 09.2025: удобно добираться и есть кафе, но встречались мусор и стройка.</x:v>
      </x:c>
      <x:c r="F36" s="16" t="str">
        <x:v>Kate G · дата не указана в выдержке: утром тихо, после 14 часов стало заметно люднее.</x:v>
      </x:c>
      <x:c r="G36" s="18" t="str">
        <x:f>HYPERLINK("https://www.tripadvisor.com/Attraction_Review-g2538506-d6979297-Reviews-Crystal_Bay-Nusa_Penida_Bali.html","Читать ↗")</x:f>
        <x:v>Читать ↗</x:v>
      </x:c>
      <x:c r="H36" s="18" t="str">
        <x:f>HYPERLINK("https://www.tripadvisor.com/Attraction_Review-g2538506-d6979297-Reviews-Crystal_Bay-Nusa_Penida_Bali.html","Читать ↗")</x:f>
        <x:v>Читать ↗</x:v>
      </x:c>
      <x:c r="I36" s="18" t="str">
        <x:f>HYPERLINK("https://www.tripadvisor.com/Attraction_Review-g2538506-d6979297-Reviews-Crystal_Bay-Nusa_Penida_Bali.html","TA ↗")</x:f>
        <x:v>TA ↗</x:v>
      </x:c>
      <x:c r="J36" s="44" t="n">
        <x:v>-8.7150726</x:v>
      </x:c>
      <x:c r="K36" s="44" t="n">
        <x:v>115.4577438</x:v>
      </x:c>
      <x:c r="L36" s="16" t="str">
        <x:v>Точка/центр объекта по OpenStreetMap</x:v>
      </x:c>
      <x:c r="M36" s="18" t="str">
        <x:f>HYPERLINK("https://www.openstreetmap.org/node/7005551237","Координаты ↗")</x:f>
        <x:v>Координаты ↗</x:v>
      </x:c>
      <x:c r="N36" s="16" t="str">
        <x:v>29.09.2026</x:v>
      </x:c>
      <x:c r="O36" s="16" t="str">
        <x:v>50+ отзывов</x:v>
      </x:c>
      <x:c r="P36" s="18" t="str">
        <x:f>HYPERLINK("https://dynamic-media-cdn.tripadvisor.com/media/photo-o/0f/52/0f/3c/img-4816-768x513-largejpg.jpg?h=400&amp;s=1&amp;w=700","Tripadvisor / фото ↗")</x:f>
        <x:v>Tripadvisor / фото ↗</x:v>
      </x:c>
      <x:c r="Q36" s="18" t="str">
        <x:f>HYPERLINK("#'Места'!A42","В список →")</x:f>
        <x:v>В список →</x:v>
      </x:c>
    </x:row>
    <x:row r="37" ht="108.75" customHeight="1">
      <x:c r="A37" s="32" t="n">
        <x:v>31</x:v>
      </x:c>
      <x:c r="B37" s="7" t="str">
        <x:v>Tanah Lot</x:v>
      </x:c>
      <x:c r="C37" s="4" t="str">
        <x:v>Перед закатом</x:v>
      </x:c>
      <x:c r="D37" s="4" t="str">
        <x:v>Большие группы; проход к основанию зависит от прилива, внутренний храм не открыт всем.</x:v>
      </x:c>
      <x:c r="E37" s="4" t="str">
        <x:v>Andrea77R · 08.2026: впечатляющий храм на скале среди океана.</x:v>
      </x:c>
      <x:c r="F37" s="4" t="str">
        <x:v>Monica Cottone · 08.2025: подойти ближе удалось на отливе; внутреннее святилище закрыто для туристов.</x:v>
      </x:c>
      <x:c r="G37" s="8" t="str">
        <x:f>HYPERLINK("https://www.tripadvisor.com/Attraction_Review-g2283829-d379340-Reviews-Tanah_Lot-Beraban_Bali.html","Читать ↗")</x:f>
        <x:v>Читать ↗</x:v>
      </x:c>
      <x:c r="H37" s="8" t="str">
        <x:f>HYPERLINK("https://www.tripadvisor.com/Attraction_Review-g2283829-d379340-Reviews-Tanah_Lot-Beraban_Bali.html","Читать ↗")</x:f>
        <x:v>Читать ↗</x:v>
      </x:c>
      <x:c r="I37" s="8" t="str">
        <x:f>HYPERLINK("https://www.tripadvisor.com/Attraction_Review-g2283829-d379340-Reviews-Tanah_Lot-Beraban_Bali.html","TA ↗")</x:f>
        <x:v>TA ↗</x:v>
      </x:c>
      <x:c r="J37" s="43" t="n">
        <x:v>-8.6212286</x:v>
      </x:c>
      <x:c r="K37" s="43" t="n">
        <x:v>115.0868849</x:v>
      </x:c>
      <x:c r="L37" s="4" t="str">
        <x:v>Точка/центр объекта по OpenStreetMap</x:v>
      </x:c>
      <x:c r="M37" s="8" t="str">
        <x:f>HYPERLINK("https://www.openstreetmap.org/way/480035623","Координаты ↗")</x:f>
        <x:v>Координаты ↗</x:v>
      </x:c>
      <x:c r="N37" s="4" t="str">
        <x:v>29.09.2026</x:v>
      </x:c>
      <x:c r="O37" s="4" t="str">
        <x:v>50+ отзывов</x:v>
      </x:c>
      <x:c r="P37" s="8" t="str">
        <x:f>HYPERLINK("https://dynamic-media-cdn.tripadvisor.com/media/photo-o/1b/4c/37/44/photo8jpg.jpg?h=400&amp;s=1&amp;w=700","Tripadvisor / фото ↗")</x:f>
        <x:v>Tripadvisor / фото ↗</x:v>
      </x:c>
      <x:c r="Q37" s="8" t="str">
        <x:f>HYPERLINK("#'Места'!A13","В список →")</x:f>
        <x:v>В список →</x:v>
      </x:c>
    </x:row>
    <x:row r="38" ht="108.75" customHeight="1">
      <x:c r="A38" s="32" t="n">
        <x:v>32</x:v>
      </x:c>
      <x:c r="B38" s="17" t="str">
        <x:v>Uluwatu Temple</x:v>
      </x:c>
      <x:c r="C38" s="16" t="str">
        <x:v>Закат; спокойнее утром</x:v>
      </x:c>
      <x:c r="D38" s="16" t="str">
        <x:v>Обезьяны хватают очки и телефоны; на кечак бывают очереди.</x:v>
      </x:c>
      <x:c r="E38" s="16" t="str">
        <x:v>Emma M · 09.2026: до 10 утра приятнее гулять; отличный океанский вид, вещи нужно беречь.</x:v>
      </x:c>
      <x:c r="F38" s="16" t="str">
        <x:v>Amit J · 07.2024: понравился кечак, но ожидание и очередь были долгими.</x:v>
      </x:c>
      <x:c r="G38" s="18" t="str">
        <x:f>HYPERLINK("https://www.tripadvisor.com/Attraction_Review-g1380108-d592779-Reviews-Uluwatu_Temple-Pecatu_Bukit_Peninsula_Bali.html","Читать ↗")</x:f>
        <x:v>Читать ↗</x:v>
      </x:c>
      <x:c r="H38" s="18" t="str">
        <x:f>HYPERLINK("https://www.tripadvisor.com/Attraction_Review-g1380108-d592779-Reviews-Uluwatu_Temple-Pecatu_Bukit_Peninsula_Bali.html","Читать ↗")</x:f>
        <x:v>Читать ↗</x:v>
      </x:c>
      <x:c r="I38" s="18" t="str">
        <x:f>HYPERLINK("https://www.tripadvisor.com/Attraction_Review-g1380108-d592779-Reviews-Uluwatu_Temple-Pecatu_Bukit_Peninsula_Bali.html","TA ↗")</x:f>
        <x:v>TA ↗</x:v>
      </x:c>
      <x:c r="J38" s="44" t="n">
        <x:v>-8.8293693</x:v>
      </x:c>
      <x:c r="K38" s="44" t="n">
        <x:v>115.0843428</x:v>
      </x:c>
      <x:c r="L38" s="16" t="str">
        <x:v>Точка/центр объекта по OpenStreetMap</x:v>
      </x:c>
      <x:c r="M38" s="18" t="str">
        <x:f>HYPERLINK("https://www.openstreetmap.org/way/707659668","Координаты ↗")</x:f>
        <x:v>Координаты ↗</x:v>
      </x:c>
      <x:c r="N38" s="16" t="str">
        <x:v>29.09.2026</x:v>
      </x:c>
      <x:c r="O38" s="16" t="str">
        <x:v>50+ отзывов</x:v>
      </x:c>
      <x:c r="P38" s="18" t="str">
        <x:f>HYPERLINK("https://dynamic-media-cdn.tripadvisor.com/media/photo-o/05/52/bf/2f/candi-uluwatu.jpg?h=-1&amp;s=1&amp;w=700","Tripadvisor / фото ↗")</x:f>
        <x:v>Tripadvisor / фото ↗</x:v>
      </x:c>
      <x:c r="Q38" s="18" t="str">
        <x:f>HYPERLINK("#'Места'!A14","В список →")</x:f>
        <x:v>В список →</x:v>
      </x:c>
    </x:row>
    <x:row r="39" ht="108.75" customHeight="1">
      <x:c r="A39" s="32" t="n">
        <x:v>33</x:v>
      </x:c>
      <x:c r="B39" s="7" t="str">
        <x:v>Tirta Empul</x:v>
      </x:c>
      <x:c r="C39" s="4" t="str">
        <x:v>Утро</x:v>
      </x:c>
      <x:c r="D39" s="4" t="str">
        <x:v>Саронг и уважение к правилам; участие в ритуале необязательно.</x:v>
      </x:c>
      <x:c r="E39" s="4" t="str">
        <x:v>Brad · 01.2026: интересный храмовый комплекс; отметил предоставление одежды.</x:v>
      </x:c>
      <x:c r="F39" s="4" t="str">
        <x:v>Jonathan Phan · 12.2025: запомнился ритуал и зелёная территория; советует ранний визит.</x:v>
      </x:c>
      <x:c r="G39" s="8" t="str">
        <x:f>HYPERLINK("https://www.tripadvisor.com/Attraction_Review-g15226519-d1912575-Reviews-Tirta_Empul_Temple-Manukaya_Tampaksiring_Gianyar_Regency_Bali.html","Читать ↗")</x:f>
        <x:v>Читать ↗</x:v>
      </x:c>
      <x:c r="H39" s="8" t="str">
        <x:f>HYPERLINK("https://www.tripadvisor.com/Attraction_Review-g15226519-d1912575-Reviews-Tirta_Empul_Temple-Manukaya_Tampaksiring_Gianyar_Regency_Bali.html","Читать ↗")</x:f>
        <x:v>Читать ↗</x:v>
      </x:c>
      <x:c r="I39" s="8" t="str">
        <x:f>HYPERLINK("https://www.tripadvisor.com/Attraction_Review-g15226519-d1912575-Reviews-Tirta_Empul_Temple-Manukaya_Tampaksiring_Gianyar_Regency_Bali.html","TA ↗")</x:f>
        <x:v>TA ↗</x:v>
      </x:c>
      <x:c r="J39" s="43" t="n">
        <x:v>-8.4143876</x:v>
      </x:c>
      <x:c r="K39" s="43" t="n">
        <x:v>115.3159951</x:v>
      </x:c>
      <x:c r="L39" s="4" t="str">
        <x:v>Точка/центр объекта по OpenStreetMap</x:v>
      </x:c>
      <x:c r="M39" s="8" t="str">
        <x:f>HYPERLINK("https://www.openstreetmap.org/node/10208648218","Координаты ↗")</x:f>
        <x:v>Координаты ↗</x:v>
      </x:c>
      <x:c r="N39" s="4" t="str">
        <x:v>29.09.2026</x:v>
      </x:c>
      <x:c r="O39" s="4" t="str">
        <x:v>50+ отзывов</x:v>
      </x:c>
      <x:c r="P39" s="8" t="str">
        <x:f>HYPERLINK("https://dynamic-media-cdn.tripadvisor.com/media/photo-o/1b/2d/5c/55/bath-time.jpg?h=400&amp;s=1&amp;w=700","Tripadvisor / фото ↗")</x:f>
        <x:v>Tripadvisor / фото ↗</x:v>
      </x:c>
      <x:c r="Q39" s="8" t="str">
        <x:f>HYPERLINK("#'Места'!A22","В список →")</x:f>
        <x:v>В список →</x:v>
      </x:c>
    </x:row>
    <x:row r="40" ht="108.75" customHeight="1">
      <x:c r="A40" s="32" t="n">
        <x:v>34</x:v>
      </x:c>
      <x:c r="B40" s="17" t="str">
        <x:v>Ulun Danu Beratan</x:v>
      </x:c>
      <x:c r="C40" s="16" t="str">
        <x:v>Рано утром</x:v>
      </x:c>
      <x:c r="D40" s="16" t="str">
        <x:v>Облачность меняет вид; к середине дня туристические группы.</x:v>
      </x:c>
      <x:c r="E40" s="16" t="str">
        <x:v>GregoryM78 · 10.2025: ранний туман придал храму особую атмосферу.</x:v>
      </x:c>
      <x:c r="F40" s="16" t="str">
        <x:v>atyagi · 07.2026: красивые озеро и горы; длинную дорогу лучше объединить с другими остановками.</x:v>
      </x:c>
      <x:c r="G40" s="18" t="str">
        <x:f>HYPERLINK("https://www.tripadvisor.com/Attraction_Review-g19415112-d447061-Reviews-Ulun_Danu_Bratan-Belalang_Kediri_Bali.html","Читать ↗")</x:f>
        <x:v>Читать ↗</x:v>
      </x:c>
      <x:c r="H40" s="18" t="str">
        <x:f>HYPERLINK("https://www.tripadvisor.com/Attraction_Review-g19415112-d447061-Reviews-Ulun_Danu_Bratan-Belalang_Kediri_Bali.html","Читать ↗")</x:f>
        <x:v>Читать ↗</x:v>
      </x:c>
      <x:c r="I40" s="18" t="str">
        <x:f>HYPERLINK("https://www.tripadvisor.com/Attraction_Review-g19415112-d447061-Reviews-Ulun_Danu_Bratan-Belalang_Kediri_Bali.html","TA ↗")</x:f>
        <x:v>TA ↗</x:v>
      </x:c>
      <x:c r="J40" s="44" t="n">
        <x:v>-8.2755069</x:v>
      </x:c>
      <x:c r="K40" s="44" t="n">
        <x:v>115.16626</x:v>
      </x:c>
      <x:c r="L40" s="16" t="str">
        <x:v>Точка/центр объекта по OpenStreetMap</x:v>
      </x:c>
      <x:c r="M40" s="18" t="str">
        <x:f>HYPERLINK("https://www.openstreetmap.org/relation/9037048","Координаты ↗")</x:f>
        <x:v>Координаты ↗</x:v>
      </x:c>
      <x:c r="N40" s="16" t="str">
        <x:v>29.09.2026</x:v>
      </x:c>
      <x:c r="O40" s="16" t="str">
        <x:v>50+ отзывов</x:v>
      </x:c>
      <x:c r="P40" s="18" t="str">
        <x:f>HYPERLINK("https://dynamic-media-cdn.tripadvisor.com/media/photo-o/16/f4/95/4d/magicke-misto.jpg?h=400&amp;s=1&amp;w=700","Tripadvisor / фото ↗")</x:f>
        <x:v>Tripadvisor / фото ↗</x:v>
      </x:c>
      <x:c r="Q40" s="18" t="str">
        <x:f>HYPERLINK("#'Места'!A19","В список →")</x:f>
        <x:v>В список →</x:v>
      </x:c>
    </x:row>
    <x:row r="41" ht="108.75" customHeight="1">
      <x:c r="A41" s="32" t="n">
        <x:v>35</x:v>
      </x:c>
      <x:c r="B41" s="7" t="str">
        <x:v>Besakih Temple</x:v>
      </x:c>
      <x:c r="C41" s="4" t="str">
        <x:v>Утро</x:v>
      </x:c>
      <x:c r="D41" s="4" t="str">
        <x:v>Границы включённых услуг важно согласовать; в отзывах много жалоб на дополнительные платежи.</x:v>
      </x:c>
      <x:c r="E41" s="4" t="str">
        <x:v>mariodagot · 07.2026: впечатление испортили требования чаевых и платных подношений.</x:v>
      </x:c>
      <x:c r="F41" s="4" t="str">
        <x:v>Mariana C · 05.2026: семье не понравились навязчивые продавцы и неясные условия транспорта и сопровождения.</x:v>
      </x:c>
      <x:c r="G41" s="8" t="str">
        <x:f>HYPERLINK("https://www.tripadvisor.com/Attraction_Review-g608484-d506291-Reviews-Besakih_Temple-Karangasem_Bali.html","Читать ↗")</x:f>
        <x:v>Читать ↗</x:v>
      </x:c>
      <x:c r="H41" s="8" t="str">
        <x:f>HYPERLINK("https://www.tripadvisor.com/Attraction_Review-g608484-d506291-Reviews-Besakih_Temple-Karangasem_Bali.html","Читать ↗")</x:f>
        <x:v>Читать ↗</x:v>
      </x:c>
      <x:c r="I41" s="8" t="str">
        <x:f>HYPERLINK("https://www.tripadvisor.co.uk/Attraction_Review-g608484-d506291-Reviews-Besakih_Temple-Karangasem_Bali.html","TA ↗")</x:f>
        <x:v>TA ↗</x:v>
      </x:c>
      <x:c r="J41" s="43" t="n">
        <x:v>-8.3232422</x:v>
      </x:c>
      <x:c r="K41" s="43" t="n">
        <x:v>115.4463963</x:v>
      </x:c>
      <x:c r="L41" s="4" t="str">
        <x:v>Точка/центр объекта по OpenStreetMap</x:v>
      </x:c>
      <x:c r="M41" s="8" t="str">
        <x:f>HYPERLINK("https://www.openstreetmap.org/node/4396965474","Координаты ↗")</x:f>
        <x:v>Координаты ↗</x:v>
      </x:c>
      <x:c r="N41" s="4" t="str">
        <x:v>29.09.2026</x:v>
      </x:c>
      <x:c r="O41" s="4" t="str">
        <x:v>50+ отзывов</x:v>
      </x:c>
      <x:c r="P41" s="8" t="str">
        <x:f>HYPERLINK("https://dynamic-media-cdn.tripadvisor.com/media/photo-o/0e/6c/1a/cc/top-temple-besakih.jpg?h=400&amp;s=1&amp;w=700","Tripadvisor / фото ↗")</x:f>
        <x:v>Tripadvisor / фото ↗</x:v>
      </x:c>
      <x:c r="Q41" s="8" t="str">
        <x:f>HYPERLINK("#'Места'!A27","В список →")</x:f>
        <x:v>В список →</x:v>
      </x:c>
    </x:row>
    <x:row r="42" ht="108.75" customHeight="1">
      <x:c r="A42" s="32" t="n">
        <x:v>36</x:v>
      </x:c>
      <x:c r="B42" s="17" t="str">
        <x:v>Gunung Kawi Tampaksiring</x:v>
      </x:c>
      <x:c r="C42" s="16" t="str">
        <x:v>Утро</x:v>
      </x:c>
      <x:c r="D42" s="16" t="str">
        <x:v>Длинная лестница вниз и вверх; это Tampaksiring, не Gunung Kawi Sebatu.</x:v>
      </x:c>
      <x:c r="E42" s="16" t="str">
        <x:v>porkpieGloucester · 07.2025: необычные каменные памятники, саронг входил в билет; много ступеней.</x:v>
      </x:c>
      <x:c r="F42" s="16" t="str">
        <x:v>John K · 06.2026: тихая долина и интересная история, но крутой обратный подъём.</x:v>
      </x:c>
      <x:c r="G42" s="18" t="str">
        <x:f>HYPERLINK("https://www.tripadvisor.com/Attraction_Review-g1025505-d1972269-Reviews-Mount_Kawi-Tampaksiring_Gianyar_Regency_Bali.html","Читать ↗")</x:f>
        <x:v>Читать ↗</x:v>
      </x:c>
      <x:c r="H42" s="18" t="str">
        <x:f>HYPERLINK("https://www.tripadvisor.com/Attraction_Review-g1025505-d1972269-Reviews-Mount_Kawi-Tampaksiring_Gianyar_Regency_Bali.html","Читать ↗")</x:f>
        <x:v>Читать ↗</x:v>
      </x:c>
      <x:c r="I42" s="18" t="str">
        <x:f>HYPERLINK("https://www.tripadvisor.com/Attraction_Review-g1025505-d1972269-Reviews-Mount_Kawi-Tampaksiring_Gianyar_Regency_Bali.html","TA ↗")</x:f>
        <x:v>TA ↗</x:v>
      </x:c>
      <x:c r="J42" s="44" t="n">
        <x:v>-8.4229635</x:v>
      </x:c>
      <x:c r="K42" s="44" t="n">
        <x:v>115.3125334</x:v>
      </x:c>
      <x:c r="L42" s="16" t="str">
        <x:v>Точка/центр объекта по OpenStreetMap</x:v>
      </x:c>
      <x:c r="M42" s="18" t="str">
        <x:f>HYPERLINK("https://www.openstreetmap.org/way/1119139833","Координаты ↗")</x:f>
        <x:v>Координаты ↗</x:v>
      </x:c>
      <x:c r="N42" s="16" t="str">
        <x:v>29.09.2026</x:v>
      </x:c>
      <x:c r="O42" s="16" t="str">
        <x:v>50+ отзывов</x:v>
      </x:c>
      <x:c r="P42" s="18" t="str">
        <x:f>HYPERLINK("https://dynamic-media-cdn.tripadvisor.com/media/photo-o/06/c4/ab/20/gunung-kawi.jpg?h=400&amp;s=1&amp;w=700","Tripadvisor / фото ↗")</x:f>
        <x:v>Tripadvisor / фото ↗</x:v>
      </x:c>
      <x:c r="Q42" s="18" t="str">
        <x:f>HYPERLINK("#'Места'!A37","В список →")</x:f>
        <x:v>В список →</x:v>
      </x:c>
    </x:row>
    <x:row r="43" ht="108.75" customHeight="1">
      <x:c r="A43" s="32" t="n">
        <x:v>37</x:v>
      </x:c>
      <x:c r="B43" s="7" t="str">
        <x:v>Goa Gajah</x:v>
      </x:c>
      <x:c r="C43" s="4" t="str">
        <x:v>Утро</x:v>
      </x:c>
      <x:c r="D43" s="4" t="str">
        <x:v>Пещера маленькая, внутри благовония; не покупать саронг до проверки билета.</x:v>
      </x:c>
      <x:c r="E43" s="4" t="str">
        <x:v>Monique S · 05.2026: понравились зелёные нижние тропы; пещера небольшая, ступени крутые.</x:v>
      </x:c>
      <x:c r="F43" s="4" t="str">
        <x:v>Jfwillems · 06.2026: разочаровали тесная пещера, многочисленные ступени и настойчивые продавцы.</x:v>
      </x:c>
      <x:c r="G43" s="8" t="str">
        <x:f>HYPERLINK("https://www.tripadvisor.co.uk/Attraction_Review-g297701-d451059-Reviews-Elephant_Cave-Ubud_Gianyar_Regency_Bali.html","Читать ↗")</x:f>
        <x:v>Читать ↗</x:v>
      </x:c>
      <x:c r="H43" s="8" t="str">
        <x:f>HYPERLINK("https://www.tripadvisor.co.uk/Attraction_Review-g297701-d451059-Reviews-Elephant_Cave-Ubud_Gianyar_Regency_Bali.html","Читать ↗")</x:f>
        <x:v>Читать ↗</x:v>
      </x:c>
      <x:c r="I43" s="8" t="str">
        <x:f>HYPERLINK("https://www.tripadvisor.co.uk/Attraction_Review-g297701-d451059-Reviews-Elephant_Cave-Ubud_Gianyar_Regency_Bali.html","TA ↗")</x:f>
        <x:v>TA ↗</x:v>
      </x:c>
      <x:c r="J43" s="43" t="n">
        <x:v>-8.5236926</x:v>
      </x:c>
      <x:c r="K43" s="43" t="n">
        <x:v>115.2866892</x:v>
      </x:c>
      <x:c r="L43" s="4" t="str">
        <x:v>Точка/центр объекта по OpenStreetMap</x:v>
      </x:c>
      <x:c r="M43" s="8" t="str">
        <x:f>HYPERLINK("https://www.openstreetmap.org/way/1026007014","Координаты ↗")</x:f>
        <x:v>Координаты ↗</x:v>
      </x:c>
      <x:c r="N43" s="4" t="str">
        <x:v>29.09.2026</x:v>
      </x:c>
      <x:c r="O43" s="4" t="str">
        <x:v>50+ отзывов</x:v>
      </x:c>
      <x:c r="P43" s="8" t="str">
        <x:f>HYPERLINK("https://dynamic-media-cdn.tripadvisor.com/media/photo-o/0a/a1/c4/fc/goa-gajah.jpg?h=-1&amp;s=1&amp;w=700","Tripadvisor / фото ↗")</x:f>
        <x:v>Tripadvisor / фото ↗</x:v>
      </x:c>
      <x:c r="Q43" s="8" t="str">
        <x:f>HYPERLINK("#'Места'!A17","В список →")</x:f>
        <x:v>В список →</x:v>
      </x:c>
    </x:row>
    <x:row r="44" ht="108.75" customHeight="1">
      <x:c r="A44" s="32" t="n">
        <x:v>38</x:v>
      </x:c>
      <x:c r="B44" s="17" t="str">
        <x:v>Taman Ayun</x:v>
      </x:c>
      <x:c r="C44" s="16" t="str">
        <x:v>Утро</x:v>
      </x:c>
      <x:c r="D44" s="16" t="str">
        <x:v>Основное святилище осматривают снаружи; закрыть колени.</x:v>
      </x:c>
      <x:c r="E44" s="16" t="str">
        <x:v>Tamara K · 07.2026: почти не было людей, понравились лотосы и маленький музей.</x:v>
      </x:c>
      <x:c r="F44" s="16" t="str">
        <x:v>Brad · 01.2026: ухоженные сады, галерея и фильм помогли понять историю.</x:v>
      </x:c>
      <x:c r="G44" s="18" t="str">
        <x:f>HYPERLINK("https://www.tripadvisor.com/Attraction_Review-g1025508-d1595129-Reviews-Taman_Ayun_Temple-Mengwi_Badung_Regency_Bali.html","Читать ↗")</x:f>
        <x:v>Читать ↗</x:v>
      </x:c>
      <x:c r="H44" s="18" t="str">
        <x:f>HYPERLINK("https://www.tripadvisor.com/Attraction_Review-g1025508-d1595129-Reviews-Taman_Ayun_Temple-Mengwi_Badung_Regency_Bali.html","Читать ↗")</x:f>
        <x:v>Читать ↗</x:v>
      </x:c>
      <x:c r="I44" s="18" t="str">
        <x:f>HYPERLINK("https://www.tripadvisor.com/Attraction_Review-g1025508-d1595129-Reviews-Taman_Ayun_Temple-Mengwi_Badung_Regency_Bali.html","TA ↗")</x:f>
        <x:v>TA ↗</x:v>
      </x:c>
      <x:c r="J44" s="44" t="n">
        <x:v>-8.5418493</x:v>
      </x:c>
      <x:c r="K44" s="44" t="n">
        <x:v>115.1724926</x:v>
      </x:c>
      <x:c r="L44" s="16" t="str">
        <x:v>Точка/центр объекта по OpenStreetMap</x:v>
      </x:c>
      <x:c r="M44" s="18" t="str">
        <x:f>HYPERLINK("https://www.openstreetmap.org/node/990948352","Координаты ↗")</x:f>
        <x:v>Координаты ↗</x:v>
      </x:c>
      <x:c r="N44" s="16" t="str">
        <x:v>29.09.2026</x:v>
      </x:c>
      <x:c r="O44" s="16" t="str">
        <x:v>50+ отзывов</x:v>
      </x:c>
      <x:c r="P44" s="18" t="str">
        <x:f>HYPERLINK("https://dynamic-media-cdn.tripadvisor.com/media/photo-o/0c/e4/3c/e6/photo7jpg.jpg?h=400&amp;s=1&amp;w=700","Tripadvisor / фото ↗")</x:f>
        <x:v>Tripadvisor / фото ↗</x:v>
      </x:c>
      <x:c r="Q44" s="18" t="str">
        <x:f>HYPERLINK("#'Места'!A32","В список →")</x:f>
        <x:v>В список →</x:v>
      </x:c>
    </x:row>
    <x:row r="45" ht="108.75" customHeight="1">
      <x:c r="A45" s="32" t="n">
        <x:v>39</x:v>
      </x:c>
      <x:c r="B45" s="7" t="str">
        <x:v>Tirta Gangga</x:v>
      </x:c>
      <x:c r="C45" s="4" t="str">
        <x:v>К открытию</x:v>
      </x:c>
      <x:c r="D45" s="4" t="str">
        <x:v>Скользкие камни и толпы на главной фотодорожке.</x:v>
      </x:c>
      <x:c r="E45" s="4" t="str">
        <x:v>Rorinho75 · 08.2026: красивый сад, но трудно назвать его тихим из-за количества посетителей.</x:v>
      </x:c>
      <x:c r="F45" s="4" t="str">
        <x:v>Eric2759 · 08.2026: высоко оценил архитектуру; экскурсия помогла увидеть больше деталей.</x:v>
      </x:c>
      <x:c r="G45" s="8" t="str">
        <x:f>HYPERLINK("https://www.tripadvisor.com/Attraction_Review-g780769-d1158015-Reviews-Tirtagangga_Park-Ababi_Karangasem_Bali.html","Читать ↗")</x:f>
        <x:v>Читать ↗</x:v>
      </x:c>
      <x:c r="H45" s="8" t="str">
        <x:f>HYPERLINK("https://www.tripadvisor.com/Attraction_Review-g780769-d1158015-Reviews-Tirtagangga_Park-Ababi_Karangasem_Bali.html","Читать ↗")</x:f>
        <x:v>Читать ↗</x:v>
      </x:c>
      <x:c r="I45" s="8" t="str">
        <x:f>HYPERLINK("https://www.tripadvisor.co.uk/Attraction_Review-g780769-d1158015-Reviews-Tirtagangga_Park-Ababi_Karangasem_Bali.html","TA ↗")</x:f>
        <x:v>TA ↗</x:v>
      </x:c>
      <x:c r="J45" s="43" t="n">
        <x:v>-8.4113185</x:v>
      </x:c>
      <x:c r="K45" s="43" t="n">
        <x:v>115.5880547</x:v>
      </x:c>
      <x:c r="L45" s="4" t="str">
        <x:v>Парковка у Tirta Gangga</x:v>
      </x:c>
      <x:c r="M45" s="8" t="str">
        <x:f>HYPERLINK("https://www.openstreetmap.org/node/12444528973","Координаты ↗")</x:f>
        <x:v>Координаты ↗</x:v>
      </x:c>
      <x:c r="N45" s="4" t="str">
        <x:v>29.09.2026</x:v>
      </x:c>
      <x:c r="O45" s="4" t="str">
        <x:v>50+ отзывов</x:v>
      </x:c>
      <x:c r="P45" s="8" t="str">
        <x:f>HYPERLINK("https://dynamic-media-cdn.tripadvisor.com/media/photo-o/05/6a/3c/6c/tirta-gangga.jpg?h=400&amp;s=1&amp;w=700","Tripadvisor / фото ↗")</x:f>
        <x:v>Tripadvisor / фото ↗</x:v>
      </x:c>
      <x:c r="Q45" s="8" t="str">
        <x:f>HYPERLINK("#'Места'!A24","В список →")</x:f>
        <x:v>В список →</x:v>
      </x:c>
    </x:row>
    <x:row r="46" ht="108.75" customHeight="1">
      <x:c r="A46" s="32" t="n">
        <x:v>40</x:v>
      </x:c>
      <x:c r="B46" s="17" t="str">
        <x:v>Taman Ujung</x:v>
      </x:c>
      <x:c r="C46" s="16" t="str">
        <x:v>Утро или ближе к вечеру</x:v>
      </x:c>
      <x:c r="D46" s="16" t="str">
        <x:v>Мало тени; лучшие панорамы требуют подъёма по лестнице.</x:v>
      </x:c>
      <x:c r="E46" s="16" t="str">
        <x:v>anakpantai · дата не указана в выдержке: красивые сады и вид на океан сверху, но далеко от юга.</x:v>
      </x:c>
      <x:c r="F46" s="16" t="str">
        <x:v>Leannie · 12.2024: спокойное и красивое место, в жару не хватало тени.</x:v>
      </x:c>
      <x:c r="G46" s="18" t="str">
        <x:f>HYPERLINK("https://www.tripadvisor.com/Attraction_Review-g608484-d2211842-Reviews-Ujung_Water_Palace-Karangasem_Bali.html","Читать ↗")</x:f>
        <x:v>Читать ↗</x:v>
      </x:c>
      <x:c r="H46" s="18" t="str">
        <x:f>HYPERLINK("https://www.tripadvisor.com/Attraction_Review-g608484-d2211842-Reviews-Ujung_Water_Palace-Karangasem_Bali.html","Читать ↗")</x:f>
        <x:v>Читать ↗</x:v>
      </x:c>
      <x:c r="I46" s="18" t="str">
        <x:f>HYPERLINK("https://www.tripadvisor.com/Attraction_Review-g608484-d2211842-Reviews-Ujung_Water_Palace-Karangasem_Bali.html","TA ↗")</x:f>
        <x:v>TA ↗</x:v>
      </x:c>
      <x:c r="J46" s="44" t="n">
        <x:v>-8.464546</x:v>
      </x:c>
      <x:c r="K46" s="44" t="n">
        <x:v>115.6304955</x:v>
      </x:c>
      <x:c r="L46" s="16" t="str">
        <x:v>Точка/центр объекта по OpenStreetMap</x:v>
      </x:c>
      <x:c r="M46" s="18" t="str">
        <x:f>HYPERLINK("https://www.openstreetmap.org/way/240066436","Координаты ↗")</x:f>
        <x:v>Координаты ↗</x:v>
      </x:c>
      <x:c r="N46" s="16" t="str">
        <x:v>29.09.2026</x:v>
      </x:c>
      <x:c r="O46" s="16" t="str">
        <x:v>50+ отзывов</x:v>
      </x:c>
      <x:c r="P46" s="18" t="str">
        <x:f>HYPERLINK("https://dynamic-media-cdn.tripadvisor.com/media/photo-o/13/09/e6/cc/img-20180523-wa0025-largejpg.jpg?h=400&amp;s=1&amp;w=700","Tripadvisor / фото ↗")</x:f>
        <x:v>Tripadvisor / фото ↗</x:v>
      </x:c>
      <x:c r="Q46" s="18" t="str">
        <x:f>HYPERLINK("#'Места'!A36","В список →")</x:f>
        <x:v>В список →</x:v>
      </x:c>
    </x:row>
    <x:row r="47" ht="108.75" customHeight="1">
      <x:c r="A47" s="32" t="n">
        <x:v>41</x:v>
      </x:c>
      <x:c r="B47" s="7" t="str">
        <x:v>Penglipuran Village</x:v>
      </x:c>
      <x:c r="C47" s="4" t="str">
        <x:v>Утро</x:v>
      </x:c>
      <x:c r="D47" s="4" t="str">
        <x:v>Популярная экскурсионная остановка; много лавок и фототочек.</x:v>
      </x:c>
      <x:c r="E47" s="4" t="str">
        <x:v>adk · дата не указана в выдержке: считает деревню чрезмерно коммерческой, часть храмов закрыта.</x:v>
      </x:c>
      <x:c r="F47" s="4" t="str">
        <x:v>Ipin · 05.2026, местный водитель: отмечает тишину без машин и бамбуковый лес; коммерческий отзыв.</x:v>
      </x:c>
      <x:c r="G47" s="8" t="str">
        <x:f>HYPERLINK("https://www.tripadvisor.com/Attraction_Review-g1025506-d3263502-Reviews-Penglipuran_Village-Bangli_Bali.html","Читать ↗")</x:f>
        <x:v>Читать ↗</x:v>
      </x:c>
      <x:c r="H47" s="8" t="str">
        <x:f>HYPERLINK("https://www.tripadvisor.com/Attraction_Review-g1025506-d3263502-Reviews-Penglipuran_Village-Bangli_Bali.html","Читать ↗")</x:f>
        <x:v>Читать ↗</x:v>
      </x:c>
      <x:c r="I47" s="8" t="str">
        <x:f>HYPERLINK("https://www.tripadvisor.com/Attraction_Review-g1025506-d3263502-Reviews-Penglipuran_Village-Bangli_Bali.html","TA ↗")</x:f>
        <x:v>TA ↗</x:v>
      </x:c>
      <x:c r="J47" s="43" t="n">
        <x:v>-8.4221551</x:v>
      </x:c>
      <x:c r="K47" s="43" t="n">
        <x:v>115.3589162</x:v>
      </x:c>
      <x:c r="L47" s="4" t="str">
        <x:v>Ориентир района/территории; вход уточнить</x:v>
      </x:c>
      <x:c r="M47" s="8" t="str">
        <x:f>HYPERLINK("https://www.openstreetmap.org/node/8482826504","Координаты ↗")</x:f>
        <x:v>Координаты ↗</x:v>
      </x:c>
      <x:c r="N47" s="4" t="str">
        <x:v>29.09.2026</x:v>
      </x:c>
      <x:c r="O47" s="4" t="str">
        <x:v>50+ отзывов</x:v>
      </x:c>
      <x:c r="P47" s="8" t="str">
        <x:f>HYPERLINK("https://dynamic-media-cdn.tripadvisor.com/media/photo-o/11/13/17/e6/photo2jpg.jpg?h=400&amp;s=1&amp;w=700","Tripadvisor / фото ↗")</x:f>
        <x:v>Tripadvisor / фото ↗</x:v>
      </x:c>
      <x:c r="Q47" s="8" t="str">
        <x:f>HYPERLINK("#'Места'!A47","В список →")</x:f>
        <x:v>В список →</x:v>
      </x:c>
    </x:row>
    <x:row r="48" ht="108.75" customHeight="1">
      <x:c r="A48" s="30" t="n">
        <x:v>42</x:v>
      </x:c>
      <x:c r="B48" s="17" t="str">
        <x:v>Ubud Monkey Forest</x:v>
      </x:c>
      <x:c r="C48" s="16" t="str">
        <x:v>Утро</x:v>
      </x:c>
      <x:c r="D48" s="16" t="str">
        <x:v>Спрятать еду и свободно висящие вещи, не трогать животных.</x:v>
      </x:c>
      <x:c r="E48" s="16" t="str">
        <x:v>Javier H · 09.2026: красивый лес для двухчасовой прогулки; очки и еду советует беречь.</x:v>
      </x:c>
      <x:c r="F48" s="16" t="str">
        <x:v>Lee · 08.2026: понравились семейная прогулка, обезьяны и знакомство с историей.</x:v>
      </x:c>
      <x:c r="G48" s="18" t="str">
        <x:f>HYPERLINK("https://www.tripadvisor.com/Attraction_Review-g297701-d378969-Reviews-Sacred_Monkey_Forest_Sanctuary-Ubud_Gianyar_Regency_Bali.html","Читать ↗")</x:f>
        <x:v>Читать ↗</x:v>
      </x:c>
      <x:c r="H48" s="18" t="str">
        <x:f>HYPERLINK("https://www.tripadvisor.com/Attraction_Review-g297701-d378969-Reviews-Sacred_Monkey_Forest_Sanctuary-Ubud_Gianyar_Regency_Bali.html","Читать ↗")</x:f>
        <x:v>Читать ↗</x:v>
      </x:c>
      <x:c r="I48" s="18" t="str">
        <x:f>HYPERLINK("https://www.tripadvisor.com/Attraction_Review-g297701-d378969-Reviews-Sacred_Monkey_Forest_Sanctuary-Ubud_Gianyar_Regency_Bali.html","TA ↗")</x:f>
        <x:v>TA ↗</x:v>
      </x:c>
      <x:c r="J48" s="44" t="n">
        <x:v>-8.5187349</x:v>
      </x:c>
      <x:c r="K48" s="44" t="n">
        <x:v>115.2583202</x:v>
      </x:c>
      <x:c r="L48" s="16" t="str">
        <x:v>Точка/центр объекта по OpenStreetMap</x:v>
      </x:c>
      <x:c r="M48" s="18" t="str">
        <x:f>HYPERLINK("https://www.openstreetmap.org/relation/9732447","Координаты ↗")</x:f>
        <x:v>Координаты ↗</x:v>
      </x:c>
      <x:c r="N48" s="16" t="str">
        <x:v>29.09.2026</x:v>
      </x:c>
      <x:c r="O48" s="16" t="str">
        <x:v>50+ отзывов</x:v>
      </x:c>
      <x:c r="P48" s="18" t="str">
        <x:f>HYPERLINK("https://dynamic-media-cdn.tripadvisor.com/media/photo-o/1b/49/31/ed/photo5jpg.jpg?h=400&amp;s=1&amp;w=700","Tripadvisor / фото ↗")</x:f>
        <x:v>Tripadvisor / фото ↗</x:v>
      </x:c>
      <x:c r="Q48" s="18" t="str">
        <x:f>HYPERLINK("#'Места'!A11","В список →")</x:f>
        <x:v>В список →</x:v>
      </x:c>
    </x:row>
    <x:row r="49" ht="108.75" customHeight="1">
      <x:c r="A49" s="32" t="n">
        <x:v>43</x:v>
      </x:c>
      <x:c r="B49" s="7" t="str">
        <x:v>Lempuyang Temple</x:v>
      </x:c>
      <x:c r="C49" s="4" t="str">
        <x:v>Рано утром, ясная погода</x:v>
      </x:c>
      <x:c r="D49" s="4" t="str">
        <x:v>«Озеро» на знаменитом фото создают зеркалом. Ожидание снимка может занять часы.</x:v>
      </x:c>
      <x:c r="E49" s="4" t="str">
        <x:v>Memoirs-Sachin · 12.2025: красивый вид, но ждали фото почти три часа.</x:v>
      </x:c>
      <x:c r="F49" s="4" t="str">
        <x:v>zsszn · 02.2026: советует изучить остальной комплекс; многие ограничиваются очередью к воротам.</x:v>
      </x:c>
      <x:c r="G49" s="8" t="str">
        <x:f>HYPERLINK("https://www.tripadvisor.com/Attraction_Review-g2528749-d4155196-Reviews-Lempuyang_Temple-Abang_Karangasem_Bali.html","Читать ↗")</x:f>
        <x:v>Читать ↗</x:v>
      </x:c>
      <x:c r="H49" s="8" t="str">
        <x:f>HYPERLINK("https://www.tripadvisor.com/Attraction_Review-g2528749-d4155196-Reviews-Lempuyang_Temple-Abang_Karangasem_Bali.html","Читать ↗")</x:f>
        <x:v>Читать ↗</x:v>
      </x:c>
      <x:c r="I49" s="8" t="str">
        <x:f>HYPERLINK("https://www.tripadvisor.com/Attraction_Review-g2528749-d4155196-Reviews-Lempuyang_Temple-Abang_Karangasem_Bali.html","TA ↗")</x:f>
        <x:v>TA ↗</x:v>
      </x:c>
      <x:c r="J49" s="43" t="n">
        <x:v>-8.3912766</x:v>
      </x:c>
      <x:c r="K49" s="43" t="n">
        <x:v>115.6305487</x:v>
      </x:c>
      <x:c r="L49" s="4" t="str">
        <x:v>Нижний храм Penataran Agung / ворота</x:v>
      </x:c>
      <x:c r="M49" s="8" t="str">
        <x:f>HYPERLINK("https://www.openstreetmap.org/way/540610100","Координаты ↗")</x:f>
        <x:v>Координаты ↗</x:v>
      </x:c>
      <x:c r="N49" s="4" t="str">
        <x:v>29.09.2026</x:v>
      </x:c>
      <x:c r="O49" s="4" t="str">
        <x:v>50+ отзывов</x:v>
      </x:c>
      <x:c r="P49" s="8" t="str">
        <x:f>HYPERLINK("https://dynamic-media-cdn.tripadvisor.com/media/photo-o/18/1e/20/ad/the-gate-of-heaven.jpg?h=400&amp;s=1&amp;w=700","Tripadvisor / фото ↗")</x:f>
        <x:v>Tripadvisor / фото ↗</x:v>
      </x:c>
      <x:c r="Q49" s="8" t="str">
        <x:f>HYPERLINK("#'Места'!A39","В список →")</x:f>
        <x:v>В список →</x:v>
      </x:c>
    </x:row>
    <x:row r="50" ht="108.75" customHeight="1">
      <x:c r="A50" s="30" t="n">
        <x:v>44</x:v>
      </x:c>
      <x:c r="B50" s="17" t="str">
        <x:v>Jatiluwih Rice Terraces</x:v>
      </x:c>
      <x:c r="C50" s="16" t="str">
        <x:v>Утро</x:v>
      </x:c>
      <x:c r="D50" s="16" t="str">
        <x:v>Мало тени; цвет полей зависит от посадок и сбора урожая.</x:v>
      </x:c>
      <x:c r="E50" s="16" t="str">
        <x:v>Paola · 09.2026: рекомендует длинный маршрут и не торопиться.</x:v>
      </x:c>
      <x:c r="F50" s="16" t="str">
        <x:v>Rorinho75 · 08.2026: понравились работающие поля и панорамы вулканов без множества аттракционов.</x:v>
      </x:c>
      <x:c r="G50" s="18" t="str">
        <x:f>HYPERLINK("https://www.tripadvisor.com/Attraction_Review-g19415112-d1822321-Reviews-Jatiluwih_Green_Land-Belalang_Kediri_Bali.html","Читать ↗")</x:f>
        <x:v>Читать ↗</x:v>
      </x:c>
      <x:c r="H50" s="18" t="str">
        <x:f>HYPERLINK("https://www.tripadvisor.com/Attraction_Review-g19415112-d1822321-Reviews-Jatiluwih_Green_Land-Belalang_Kediri_Bali.html","Читать ↗")</x:f>
        <x:v>Читать ↗</x:v>
      </x:c>
      <x:c r="I50" s="18" t="str">
        <x:f>HYPERLINK("https://www.tripadvisor.in/Attraction_Review-g19415112-d1822321-Reviews-Jatiluwih_Green_Land-Belalang_Kediri_Bali.html","TA ↗")</x:f>
        <x:v>TA ↗</x:v>
      </x:c>
      <x:c r="J50" s="44" t="n">
        <x:v>-8.3701966</x:v>
      </x:c>
      <x:c r="K50" s="44" t="n">
        <x:v>115.1311962</x:v>
      </x:c>
      <x:c r="L50" s="16" t="str">
        <x:v>Точка/центр объекта по OpenStreetMap</x:v>
      </x:c>
      <x:c r="M50" s="18" t="str">
        <x:f>HYPERLINK("https://www.openstreetmap.org/node/12969144602","Координаты ↗")</x:f>
        <x:v>Координаты ↗</x:v>
      </x:c>
      <x:c r="N50" s="16" t="str">
        <x:v>29.09.2026</x:v>
      </x:c>
      <x:c r="O50" s="16" t="str">
        <x:v>50+ отзывов</x:v>
      </x:c>
      <x:c r="P50" s="18" t="str">
        <x:f>HYPERLINK("https://dynamic-media-cdn.tripadvisor.com/media/photo-o/06/e3/65/26/jatiluwih-warisan-budaya.jpg?h=400&amp;s=1&amp;w=700","Tripadvisor / фото ↗")</x:f>
        <x:v>Tripadvisor / фото ↗</x:v>
      </x:c>
      <x:c r="Q50" s="18" t="str">
        <x:f>HYPERLINK("#'Места'!A28","В список →")</x:f>
        <x:v>В список →</x:v>
      </x:c>
    </x:row>
    <x:row r="51" ht="108.75" customHeight="1">
      <x:c r="A51" s="30" t="n">
        <x:v>45</x:v>
      </x:c>
      <x:c r="B51" s="7" t="str">
        <x:v>Tegalalang Rice Terrace</x:v>
      </x:c>
      <x:c r="C51" s="4" t="str">
        <x:v>Как можно раньше</x:v>
      </x:c>
      <x:c r="D51" s="4" t="str">
        <x:v>Коммерческая локация, очереди; на карте отмечен один из входов к террасам.</x:v>
      </x:c>
      <x:c r="E51" s="4" t="str">
        <x:v>dassalz · 08.2026: впечатляюще, но очень туристическое место.</x:v>
      </x:c>
      <x:c r="F51" s="4" t="str">
        <x:v>Kellyansapansa · 08.2026: в 8:30 было ещё спокойно; прогулка с объяснениями выращивания риса понравилась больше фотоостановки.</x:v>
      </x:c>
      <x:c r="G51" s="8" t="str">
        <x:f>HYPERLINK("https://www.tripadvisor.com/Attraction_Review-g608497-d1515658-Reviews-Tegalalang_Rice_Terrace-Tegalalang_Gianyar_Regency_Bali.html","Читать ↗")</x:f>
        <x:v>Читать ↗</x:v>
      </x:c>
      <x:c r="H51" s="8" t="str">
        <x:f>HYPERLINK("https://www.tripadvisor.com/Attraction_Review-g608497-d1515658-Reviews-Tegalalang_Rice_Terrace-Tegalalang_Gianyar_Regency_Bali.html","Читать ↗")</x:f>
        <x:v>Читать ↗</x:v>
      </x:c>
      <x:c r="I51" s="8" t="str">
        <x:f>HYPERLINK("https://www.tripadvisor.com/Attraction_Review-g608497-d1515658-Reviews-Tegalalang_Rice_Terrace-Tegalalang_Gianyar_Regency_Bali.html","TA ↗")</x:f>
        <x:v>TA ↗</x:v>
      </x:c>
      <x:c r="J51" s="43" t="n">
        <x:v>-8.427608</x:v>
      </x:c>
      <x:c r="K51" s="43" t="n">
        <x:v>115.2792402</x:v>
      </x:c>
      <x:c r="L51" s="4" t="str">
        <x:v>Ориентир района/территории; вход уточнить</x:v>
      </x:c>
      <x:c r="M51" s="8" t="str">
        <x:f>HYPERLINK("https://www.openstreetmap.org/node/2047754415","Координаты ↗")</x:f>
        <x:v>Координаты ↗</x:v>
      </x:c>
      <x:c r="N51" s="4" t="str">
        <x:v>29.09.2026</x:v>
      </x:c>
      <x:c r="O51" s="4" t="str">
        <x:v>50+ отзывов</x:v>
      </x:c>
      <x:c r="P51" s="8" t="str">
        <x:f>HYPERLINK("https://dynamic-media-cdn.tripadvisor.com/media/photo-o/18/92/91/7a/pretty-rice-field-but.jpg?h=400&amp;s=1&amp;w=700","Tripadvisor / фото ↗")</x:f>
        <x:v>Tripadvisor / фото ↗</x:v>
      </x:c>
      <x:c r="Q51" s="8" t="str">
        <x:f>HYPERLINK("#'Места'!A12","В список →")</x:f>
        <x:v>В список →</x:v>
      </x:c>
    </x:row>
    <x:row r="52" ht="108.75" customHeight="1">
      <x:c r="A52" s="30" t="n">
        <x:v>46</x:v>
      </x:c>
      <x:c r="B52" s="17" t="str">
        <x:v>Campuhan Ridge Walk</x:v>
      </x:c>
      <x:c r="C52" s="16" t="str">
        <x:v>Рассвет или перед закатом</x:v>
      </x:c>
      <x:c r="D52" s="16" t="str">
        <x:v>Открытое солнце, небольшой набор высоты; на карте южная часть тропы.</x:v>
      </x:c>
      <x:c r="E52" s="16" t="str">
        <x:v>Pepe · дата не указана в выдержке: мощёная тропа с небольшим подъёмом; в полдень слишком жарко.</x:v>
      </x:c>
      <x:c r="F52" s="16" t="str">
        <x:v>Andra Bali · 05.2026, местный водитель: советует утреннюю прогулку перед завтраком; коммерческий отзыв.</x:v>
      </x:c>
      <x:c r="G52" s="18" t="str">
        <x:f>HYPERLINK("https://www.tripadvisor.com/Attraction_Review-g297701-d2662551-Reviews-Campuhan_Ridge_Walk-Ubud_Gianyar_Regency_Bali.html","Читать ↗")</x:f>
        <x:v>Читать ↗</x:v>
      </x:c>
      <x:c r="H52" s="18" t="str">
        <x:f>HYPERLINK("https://www.tripadvisor.com/Attraction_Review-g297701-d2662551-Reviews-Campuhan_Ridge_Walk-Ubud_Gianyar_Regency_Bali.html","Читать ↗")</x:f>
        <x:v>Читать ↗</x:v>
      </x:c>
      <x:c r="I52" s="18" t="str">
        <x:f>HYPERLINK("https://www.tripadvisor.com/Attraction_Review-g297701-d2662551-Reviews-Campuhan_Ridge_Walk-Ubud_Gianyar_Regency_Bali.html","TA ↗")</x:f>
        <x:v>TA ↗</x:v>
      </x:c>
      <x:c r="J52" s="44" t="n">
        <x:v>-8.4950213</x:v>
      </x:c>
      <x:c r="K52" s="44" t="n">
        <x:v>115.2558368</x:v>
      </x:c>
      <x:c r="L52" s="16" t="str">
        <x:v>Точка/центр объекта по OpenStreetMap</x:v>
      </x:c>
      <x:c r="M52" s="18" t="str">
        <x:f>HYPERLINK("https://www.openstreetmap.org/way/1263132900","Координаты ↗")</x:f>
        <x:v>Координаты ↗</x:v>
      </x:c>
      <x:c r="N52" s="16" t="str">
        <x:v>29.09.2026</x:v>
      </x:c>
      <x:c r="O52" s="16" t="str">
        <x:v>50+ отзывов</x:v>
      </x:c>
      <x:c r="P52" s="18" t="str">
        <x:f>HYPERLINK("https://dynamic-media-cdn.tripadvisor.com/media/photo-o/06/df/4a/1e/definately-worth-getting.jpg?h=400&amp;s=1&amp;w=700","Tripadvisor / фото ↗")</x:f>
        <x:v>Tripadvisor / фото ↗</x:v>
      </x:c>
      <x:c r="Q52" s="18" t="str">
        <x:f>HYPERLINK("#'Места'!A16","В список →")</x:f>
        <x:v>В список →</x:v>
      </x:c>
    </x:row>
    <x:row r="53" ht="108.75" customHeight="1">
      <x:c r="A53" s="30" t="n">
        <x:v>47</x:v>
      </x:c>
      <x:c r="B53" s="7" t="str">
        <x:v>Sidemen Rice Terrace</x:v>
      </x:c>
      <x:c r="C53" s="4" t="str">
        <x:v>Утро</x:v>
      </x:c>
      <x:c r="D53" s="4" t="str">
        <x:v>Речь о конкретной тропе, не обо всём регионе; после дождя грязь, мало тени.</x:v>
      </x:c>
      <x:c r="E53" s="4" t="str">
        <x:v>Scuba D · дата не указана в выдержке: приятный круговой маршрут; после дождя нужны кроссовки.</x:v>
      </x:c>
      <x:c r="F53" s="4" t="str">
        <x:v>Florine M · 05.2025: час среди риса и перца, по пути вид на Агунг; жарко и влажно.</x:v>
      </x:c>
      <x:c r="G53" s="8" t="str">
        <x:f>HYPERLINK("https://www.tripadvisor.com/Attraction_Review-g608495-d32768167-Reviews-Sidemen_Rice_Terrace_Sidemen-Sidemen_Karangasem_Bali.html","Читать ↗")</x:f>
        <x:v>Читать ↗</x:v>
      </x:c>
      <x:c r="H53" s="8" t="str">
        <x:f>HYPERLINK("https://www.tripadvisor.com/Attraction_Review-g608495-d32768167-Reviews-Sidemen_Rice_Terrace_Sidemen-Sidemen_Karangasem_Bali.html","Читать ↗")</x:f>
        <x:v>Читать ↗</x:v>
      </x:c>
      <x:c r="I53" s="8" t="str">
        <x:f>HYPERLINK("https://www.tripadvisor.com.sg/Attraction_Review-g608495-d32768167-Reviews-Sidemen_Rice_Terrace_Sidemen-Sidemen_Karangasem_Bali.html","TA ↗")</x:f>
        <x:v>TA ↗</x:v>
      </x:c>
      <x:c r="J53" s="43" t="n">
        <x:v>-8.4702044</x:v>
      </x:c>
      <x:c r="K53" s="43" t="n">
        <x:v>115.4371993</x:v>
      </x:c>
      <x:c r="L53" s="4" t="str">
        <x:v>Точка/центр объекта по OpenStreetMap</x:v>
      </x:c>
      <x:c r="M53" s="8" t="str">
        <x:f>HYPERLINK("https://www.openstreetmap.org/node/10938979205","Координаты ↗")</x:f>
        <x:v>Координаты ↗</x:v>
      </x:c>
      <x:c r="N53" s="4" t="str">
        <x:v>29.09.2026</x:v>
      </x:c>
      <x:c r="O53" s="4" t="str">
        <x:v>Малая: &lt;50</x:v>
      </x:c>
      <x:c r="P53" s="8" t="str">
        <x:f>HYPERLINK("https://dynamic-media-cdn.tripadvisor.com/media/photo-o/32/ee/44/b5/caption.jpg?h=-1&amp;s=1&amp;w=1200","Tripadvisor / фото ↗")</x:f>
        <x:v>Tripadvisor / фото ↗</x:v>
      </x:c>
      <x:c r="Q53" s="8" t="str">
        <x:f>HYPERLINK("#'Места'!A81","В список →")</x:f>
        <x:v>В список →</x:v>
      </x:c>
    </x:row>
    <x:row r="54" ht="108.75" customHeight="1">
      <x:c r="A54" s="30" t="n">
        <x:v>48</x:v>
      </x:c>
      <x:c r="B54" s="17" t="str">
        <x:v>Lahangan Sweet</x:v>
      </x:c>
      <x:c r="C54" s="16" t="str">
        <x:v>Рассвет при ясной погоде</x:v>
      </x:c>
      <x:c r="D54" s="16" t="str">
        <x:v>Последний подъём сложный; облака могут закрыть вулкан.</x:v>
      </x:c>
      <x:c r="E54" s="16" t="str">
        <x:v>Leo Ello · 09.2025: рекомендует рассвет и ранний приезд к фотоплощадкам.</x:v>
      </x:c>
      <x:c r="F54" s="16" t="str">
        <x:v>Tht_Queen_B · 09.2024: хорошая альтернатива воротам Лемпуянг; ехали наверх на джипе.</x:v>
      </x:c>
      <x:c r="G54" s="18" t="str">
        <x:f>HYPERLINK("https://www.tripadvisor.com/Attraction_Review-g2528749-d25214752-Reviews-Lahangan_Sweet-Abang_Karangasem_Bali.html","Читать ↗")</x:f>
        <x:v>Читать ↗</x:v>
      </x:c>
      <x:c r="H54" s="18" t="str">
        <x:f>HYPERLINK("https://www.tripadvisor.com/Attraction_Review-g2528749-d25214752-Reviews-Lahangan_Sweet-Abang_Karangasem_Bali.html","Читать ↗")</x:f>
        <x:v>Читать ↗</x:v>
      </x:c>
      <x:c r="I54" s="18" t="str">
        <x:f>HYPERLINK("https://www.tripadvisor.com/Attraction_Review-g2528749-d25214752-Reviews-Lahangan_Sweet-Abang_Karangasem_Bali.html","TA ↗")</x:f>
        <x:v>TA ↗</x:v>
      </x:c>
      <x:c r="J54" s="44" t="n">
        <x:v>-8.3719486</x:v>
      </x:c>
      <x:c r="K54" s="44" t="n">
        <x:v>115.6370773</x:v>
      </x:c>
      <x:c r="L54" s="16" t="str">
        <x:v>Точка/центр объекта по OpenStreetMap</x:v>
      </x:c>
      <x:c r="M54" s="18" t="str">
        <x:f>HYPERLINK("https://www.openstreetmap.org/node/7798235285","Координаты ↗")</x:f>
        <x:v>Координаты ↗</x:v>
      </x:c>
      <x:c r="N54" s="16" t="str">
        <x:v>29.09.2026</x:v>
      </x:c>
      <x:c r="O54" s="16" t="str">
        <x:v>Малая: &lt;50</x:v>
      </x:c>
      <x:c r="P54" s="18" t="str">
        <x:f>HYPERLINK("https://dynamic-media-cdn.tripadvisor.com/media/photo-o/27/76/f1/5f/lahangan-sweet.jpg?h=400&amp;s=1&amp;w=700","Tripadvisor / фото ↗")</x:f>
        <x:v>Tripadvisor / фото ↗</x:v>
      </x:c>
      <x:c r="Q54" s="18" t="str">
        <x:f>HYPERLINK("#'Места'!A77","В список →")</x:f>
        <x:v>В список →</x:v>
      </x:c>
    </x:row>
    <x:row r="55" ht="108.75" customHeight="1">
      <x:c r="A55" s="30" t="n">
        <x:v>49</x:v>
      </x:c>
      <x:c r="B55" s="7" t="str">
        <x:v>Bukit Asah</x:v>
      </x:c>
      <x:c r="C55" s="4" t="str">
        <x:v>Утро или закат</x:v>
      </x:c>
      <x:c r="D55" s="4" t="str">
        <x:v>Сведения и отзывы немногочисленные и старые; не ехать через весь остров только ради точки.</x:v>
      </x:c>
      <x:c r="E55" s="4" t="str">
        <x:v>KomangPurna · 11.2019, старый отзыв: хвалит панорамы с Taman Harmoni и возможность кемпинга.</x:v>
      </x:c>
      <x:c r="F55" s="4" t="str">
        <x:v>Roam59647173837 · 11.2019, старый отзыв: запомнился красивый рассвет.</x:v>
      </x:c>
      <x:c r="G55" s="8" t="str">
        <x:f>HYPERLINK("https://www.tripadvisor.com/Attraction_Review-g20309582-d12033896-Reviews-Bukit_Asah-Sengkidu_Manggis_Bali.html","Читать ↗")</x:f>
        <x:v>Читать ↗</x:v>
      </x:c>
      <x:c r="H55" s="8" t="str">
        <x:f>HYPERLINK("https://www.tripadvisor.com/Attraction_Review-g20309582-d12033896-Reviews-Bukit_Asah-Sengkidu_Manggis_Bali.html","Читать ↗")</x:f>
        <x:v>Читать ↗</x:v>
      </x:c>
      <x:c r="I55" s="8" t="str">
        <x:f>HYPERLINK("https://www.tripadvisor.com/Attraction_Review-g20309582-d12033896-Reviews-Bukit_Asah-Sengkidu_Manggis_Bali.html","TA ↗")</x:f>
        <x:v>TA ↗</x:v>
      </x:c>
      <x:c r="J55" s="43" t="n">
        <x:v>-8.5049242</x:v>
      </x:c>
      <x:c r="K55" s="43" t="n">
        <x:v>115.610783</x:v>
      </x:c>
      <x:c r="L55" s="4" t="str">
        <x:v>Точка/центр объекта по OpenStreetMap</x:v>
      </x:c>
      <x:c r="M55" s="8" t="str">
        <x:f>HYPERLINK("https://www.openstreetmap.org/node/6517536285","Координаты ↗")</x:f>
        <x:v>Координаты ↗</x:v>
      </x:c>
      <x:c r="N55" s="4" t="str">
        <x:v>29.09.2026</x:v>
      </x:c>
      <x:c r="O55" s="4" t="str">
        <x:v>Малая: &lt;50</x:v>
      </x:c>
      <x:c r="P55" s="8" t="str">
        <x:f>HYPERLINK("https://dynamic-media-cdn.tripadvisor.com/media/photo-o/12/0c/5b/24/ocean-view-sunrise.jpg?h=400&amp;s=1&amp;w=700","Tripadvisor / фото ↗")</x:f>
        <x:v>Tripadvisor / фото ↗</x:v>
      </x:c>
      <x:c r="Q55" s="8" t="str">
        <x:f>HYPERLINK("#'Места'!A80","В список →")</x:f>
        <x:v>В список →</x:v>
      </x:c>
    </x:row>
    <x:row r="56" ht="108.75" customHeight="1">
      <x:c r="A56" s="30" t="n">
        <x:v>50</x:v>
      </x:c>
      <x:c r="B56" s="17" t="str">
        <x:v>Mount Batur</x:v>
      </x:c>
      <x:c r="C56" s="16" t="str">
        <x:v>Рассвет</x:v>
      </x:c>
      <x:c r="D56" s="16" t="str">
        <x:v>Холодно перед рассветом, облачность; доступ и маршрут согласовать с местным гидом.</x:v>
      </x:c>
      <x:c r="E56" s="16" t="str">
        <x:v>Nikhil Kumar M · 09.2026: рассвет стал сильным впечатлением, но важно везение с облаками.</x:v>
      </x:c>
      <x:c r="F56" s="16" t="str">
        <x:v>dingo96 · 08.2026: понравился вид с противоположного плато и сочетание с горячими источниками.</x:v>
      </x:c>
      <x:c r="G56" s="18" t="str">
        <x:f>HYPERLINK("https://www.tripadvisor.com/Attraction_Review-g303952-d676508-Reviews-Mount_Batur-Kintamani_Bangli_Bali.html","Читать ↗")</x:f>
        <x:v>Читать ↗</x:v>
      </x:c>
      <x:c r="H56" s="18" t="str">
        <x:f>HYPERLINK("https://www.tripadvisor.com/Attraction_Review-g303952-d676508-Reviews-Mount_Batur-Kintamani_Bangli_Bali.html","Читать ↗")</x:f>
        <x:v>Читать ↗</x:v>
      </x:c>
      <x:c r="I56" s="18" t="str">
        <x:f>HYPERLINK("https://www.tripadvisor.co.uk/Attraction_Review-g303952-d676508-Reviews-Mount_Batur-Kintamani_Bangli_Bali.html","TA ↗")</x:f>
        <x:v>TA ↗</x:v>
      </x:c>
      <x:c r="J56" s="44" t="n">
        <x:v>-8.2394154</x:v>
      </x:c>
      <x:c r="K56" s="44" t="n">
        <x:v>115.3779603</x:v>
      </x:c>
      <x:c r="L56" s="16" t="str">
        <x:v>Вершина; старт трека выбирать с гидом</x:v>
      </x:c>
      <x:c r="M56" s="18" t="str">
        <x:f>HYPERLINK("https://www.openstreetmap.org/node/292801401","Координаты ↗")</x:f>
        <x:v>Координаты ↗</x:v>
      </x:c>
      <x:c r="N56" s="16" t="str">
        <x:v>29.09.2026</x:v>
      </x:c>
      <x:c r="O56" s="16" t="str">
        <x:v>50+ отзывов</x:v>
      </x:c>
      <x:c r="P56" s="18" t="str">
        <x:f>HYPERLINK("https://dynamic-media-cdn.tripadvisor.com/media/photo-o/16/3c/97/95/mt-batur-and-lake-batur.jpg?h=400&amp;s=1&amp;w=700","Tripadvisor / фото ↗")</x:f>
        <x:v>Tripadvisor / фото ↗</x:v>
      </x:c>
      <x:c r="Q56" s="18" t="str">
        <x:f>HYPERLINK("#'Места'!A26","В список →")</x:f>
        <x:v>В список →</x:v>
      </x:c>
    </x:row>
    <x:row r="57" ht="108.75" customHeight="1">
      <x:c r="A57" s="30" t="n">
        <x:v>51</x:v>
      </x:c>
      <x:c r="B57" s="7" t="str">
        <x:v>Batur Natural Hot Spring</x:v>
      </x:c>
      <x:c r="C57" s="4" t="str">
        <x:v>Утро</x:v>
      </x:c>
      <x:c r="D57" s="4" t="str">
        <x:v>Отзывы о чистоте и сервисе смешанные; заранее уточнить состав билета и длительность массажа.</x:v>
      </x:c>
      <x:c r="E57" s="4" t="str">
        <x:v>Amelia W · дата не указана в выдержке: понравились горячие бассейны, но возник спор о цене и длительности массажа.</x:v>
      </x:c>
      <x:c r="F57" s="4" t="str">
        <x:v>FarAway57117941464 · дата не указана: красивый вид, но жалобы на мух, душевые и навигацию.</x:v>
      </x:c>
      <x:c r="G57" s="8" t="str">
        <x:f>HYPERLINK("https://www.tripadvisor.com/Attraction_Review-g294226-d4226508-Reviews-Batur_Natural_Hotspring-Bali.html","Читать ↗")</x:f>
        <x:v>Читать ↗</x:v>
      </x:c>
      <x:c r="H57" s="8" t="str">
        <x:f>HYPERLINK("https://www.tripadvisor.com/Attraction_Review-g294226-d4226508-Reviews-Batur_Natural_Hotspring-Bali.html","Читать ↗")</x:f>
        <x:v>Читать ↗</x:v>
      </x:c>
      <x:c r="I57" s="8" t="str">
        <x:f>HYPERLINK("https://www.tripadvisor.com/Attraction_Review-g294226-d4226508-Reviews-Batur_Natural_Hotspring-Bali.html","TA ↗")</x:f>
        <x:v>TA ↗</x:v>
      </x:c>
      <x:c r="J57" s="43" t="n">
        <x:v>-8.2513752</x:v>
      </x:c>
      <x:c r="K57" s="43" t="n">
        <x:v>115.4003922</x:v>
      </x:c>
      <x:c r="L57" s="4" t="str">
        <x:v>Точка/центр объекта по OpenStreetMap</x:v>
      </x:c>
      <x:c r="M57" s="8" t="str">
        <x:f>HYPERLINK("https://www.openstreetmap.org/node/4462610390","Координаты ↗")</x:f>
        <x:v>Координаты ↗</x:v>
      </x:c>
      <x:c r="N57" s="4" t="str">
        <x:v>29.09.2026</x:v>
      </x:c>
      <x:c r="O57" s="4" t="str">
        <x:v>50+ отзывов</x:v>
      </x:c>
      <x:c r="P57" s="8" t="str">
        <x:f>HYPERLINK("https://dynamic-media-cdn.tripadvisor.com/media/photo-o/15/38/2f/1a/20180429-143531-largejpg.jpg?h=400&amp;s=1&amp;w=700","Tripadvisor / фото ↗")</x:f>
        <x:v>Tripadvisor / фото ↗</x:v>
      </x:c>
      <x:c r="Q57" s="8" t="str">
        <x:f>HYPERLINK("#'Места'!A57","В список →")</x:f>
        <x:v>В список →</x:v>
      </x:c>
    </x:row>
    <x:row r="58" ht="108.75" customHeight="1">
      <x:c r="A58" s="30" t="n">
        <x:v>52</x:v>
      </x:c>
      <x:c r="B58" s="17" t="str">
        <x:v>Tamblingan Lake</x:v>
      </x:c>
      <x:c r="C58" s="16" t="str">
        <x:v>Утро</x:v>
      </x:c>
      <x:c r="D58" s="16" t="str">
        <x:v>Туман и прохлада; точка на карте обозначает озеро, а не конкретную пристань.</x:v>
      </x:c>
      <x:c r="E58" s="16" t="str">
        <x:v>Xavierphoto · 05.2025: красивый панорамный вид на два озера.</x:v>
      </x:c>
      <x:c r="F58" s="16" t="str">
        <x:v>Reisemaus6271 · 11.2024: туман создал загадочную атмосферу; даже короткий визит понравился.</x:v>
      </x:c>
      <x:c r="G58" s="18" t="str">
        <x:f>HYPERLINK("https://www.tripadvisor.com/Attraction_Review-g608490-d4036213-Reviews-Tamblingan_Lake-Munduk_Banjar_Buleleng_Regency_Bali.html","Читать ↗")</x:f>
        <x:v>Читать ↗</x:v>
      </x:c>
      <x:c r="H58" s="18" t="str">
        <x:f>HYPERLINK("https://www.tripadvisor.com/Attraction_Review-g608490-d4036213-Reviews-Tamblingan_Lake-Munduk_Banjar_Buleleng_Regency_Bali.html","Читать ↗")</x:f>
        <x:v>Читать ↗</x:v>
      </x:c>
      <x:c r="I58" s="18" t="str">
        <x:f>HYPERLINK("https://www.tripadvisor.com/Attraction_Review-g608490-d4036213-Reviews-Tamblingan_Lake-Munduk_Banjar_Buleleng_Regency_Bali.html","TA ↗")</x:f>
        <x:v>TA ↗</x:v>
      </x:c>
      <x:c r="J58" s="44" t="n">
        <x:v>-8.2570611</x:v>
      </x:c>
      <x:c r="K58" s="44" t="n">
        <x:v>115.0968466</x:v>
      </x:c>
      <x:c r="L58" s="16" t="str">
        <x:v>Ориентир района/территории; вход уточнить</x:v>
      </x:c>
      <x:c r="M58" s="18" t="str">
        <x:f>HYPERLINK("https://www.openstreetmap.org/way/1447091495","Координаты ↗")</x:f>
        <x:v>Координаты ↗</x:v>
      </x:c>
      <x:c r="N58" s="16" t="str">
        <x:v>29.09.2026</x:v>
      </x:c>
      <x:c r="O58" s="16" t="str">
        <x:v>50+ отзывов</x:v>
      </x:c>
      <x:c r="P58" s="18" t="str">
        <x:f>HYPERLINK("https://dynamic-media-cdn.tripadvisor.com/media/photo-o/0f/df/15/b5/tamblingan-lake.jpg?h=400&amp;s=1&amp;w=700","Tripadvisor / фото ↗")</x:f>
        <x:v>Tripadvisor / фото ↗</x:v>
      </x:c>
      <x:c r="Q58" s="18" t="str">
        <x:f>HYPERLINK("#'Места'!A67","В список →")</x:f>
        <x:v>В список →</x:v>
      </x:c>
    </x:row>
    <x:row r="59" ht="108.75" customHeight="1">
      <x:c r="A59" s="30" t="n">
        <x:v>53</x:v>
      </x:c>
      <x:c r="B59" s="7" t="str">
        <x:v>Sangeh Monkey Forest</x:v>
      </x:c>
      <x:c r="C59" s="4" t="str">
        <x:v>Утро</x:v>
      </x:c>
      <x:c r="D59" s="4" t="str">
        <x:v>Не кормить и не трогать животных; услуги фотографа согласовать заранее.</x:v>
      </x:c>
      <x:c r="E59" s="4" t="str">
        <x:v>Paul G · дата не указана: небольшой лес; сопровождающий одновременно предлагает фотографии.</x:v>
      </x:c>
      <x:c r="F59" s="4" t="str">
        <x:v>Ellismc1 · дата не указана: заметно спокойнее центрального Monkey Forest, но территория небольшая.</x:v>
      </x:c>
      <x:c r="G59" s="8" t="str">
        <x:f>HYPERLINK("https://www.tripadvisor.com/Attraction_Review-g9723252-d7037916-Reviews-Sangeh_Monkey_Forest-Sangeh_Bali.html","Читать ↗")</x:f>
        <x:v>Читать ↗</x:v>
      </x:c>
      <x:c r="H59" s="8" t="str">
        <x:f>HYPERLINK("https://www.tripadvisor.com/Attraction_Review-g9723252-d7037916-Reviews-Sangeh_Monkey_Forest-Sangeh_Bali.html","Читать ↗")</x:f>
        <x:v>Читать ↗</x:v>
      </x:c>
      <x:c r="I59" s="8" t="str">
        <x:f>HYPERLINK("https://www.tripadvisor.com/Attraction_Review-g9723252-d7037916-Reviews-Sangeh_Monkey_Forest-Sangeh_Bali.html","TA ↗")</x:f>
        <x:v>TA ↗</x:v>
      </x:c>
      <x:c r="J59" s="43" t="n">
        <x:v>-8.479949</x:v>
      </x:c>
      <x:c r="K59" s="43" t="n">
        <x:v>115.2064482</x:v>
      </x:c>
      <x:c r="L59" s="4" t="str">
        <x:v>Точка/центр объекта по OpenStreetMap</x:v>
      </x:c>
      <x:c r="M59" s="8" t="str">
        <x:f>HYPERLINK("https://www.openstreetmap.org/way/544177708","Координаты ↗")</x:f>
        <x:v>Координаты ↗</x:v>
      </x:c>
      <x:c r="N59" s="4" t="str">
        <x:v>29.09.2026</x:v>
      </x:c>
      <x:c r="O59" s="4" t="str">
        <x:v>50+ отзывов</x:v>
      </x:c>
      <x:c r="P59" s="8" t="str">
        <x:f>HYPERLINK("https://dynamic-media-cdn.tripadvisor.com/media/photo-o/0e/3d/42/62/inside-view.jpg?h=400&amp;s=1&amp;w=700","Tripadvisor / фото ↗")</x:f>
        <x:v>Tripadvisor / фото ↗</x:v>
      </x:c>
      <x:c r="Q59" s="8" t="str">
        <x:f>HYPERLINK("#'Места'!A49","В список →")</x:f>
        <x:v>В список →</x:v>
      </x:c>
    </x:row>
    <x:row r="60" ht="108.75" customHeight="1">
      <x:c r="A60" s="30" t="n">
        <x:v>54</x:v>
      </x:c>
      <x:c r="B60" s="17" t="str">
        <x:v>Bali Botanic Garden</x:v>
      </x:c>
      <x:c r="C60" s="16" t="str">
        <x:v>Утро</x:v>
      </x:c>
      <x:c r="D60" s="16" t="str">
        <x:v>В горах возможны дождь и прохлада; территория большая.</x:v>
      </x:c>
      <x:c r="E60" s="16" t="str">
        <x:v>NovalRif · публикация 06.2026: прохладная погода понравилась для отдыха на природе.</x:v>
      </x:c>
      <x:c r="F60" s="16" t="str">
        <x:v>stopmakingsense · 05.2026: хорошая семейная прогулка; попробовали электровелосипед.</x:v>
      </x:c>
      <x:c r="G60" s="18" t="str">
        <x:f>HYPERLINK("https://www.tripadvisor.com/Attraction_Review-g19415112-d3736079-Reviews-Bali_Botanic_Garden-Belalang_Kediri_Bali.html","Читать ↗")</x:f>
        <x:v>Читать ↗</x:v>
      </x:c>
      <x:c r="H60" s="18" t="str">
        <x:f>HYPERLINK("https://www.tripadvisor.com/Attraction_Review-g19415112-d3736079-Reviews-Bali_Botanic_Garden-Belalang_Kediri_Bali.html","Читать ↗")</x:f>
        <x:v>Читать ↗</x:v>
      </x:c>
      <x:c r="I60" s="18" t="str">
        <x:f>HYPERLINK("https://www.tripadvisor.com/Attraction_Review-g19415112-d3736079-Reviews-Bali_Botanic_Garden-Belalang_Kediri_Bali.html","TA ↗")</x:f>
        <x:v>TA ↗</x:v>
      </x:c>
      <x:c r="J60" s="44" t="n">
        <x:v>-8.2739826</x:v>
      </x:c>
      <x:c r="K60" s="44" t="n">
        <x:v>115.1538344</x:v>
      </x:c>
      <x:c r="L60" s="16" t="str">
        <x:v>Точка/центр объекта по OpenStreetMap</x:v>
      </x:c>
      <x:c r="M60" s="18" t="str">
        <x:f>HYPERLINK("https://www.openstreetmap.org/way/460354842","Координаты ↗")</x:f>
        <x:v>Координаты ↗</x:v>
      </x:c>
      <x:c r="N60" s="16" t="str">
        <x:v>29.09.2026</x:v>
      </x:c>
      <x:c r="O60" s="16" t="str">
        <x:v>50+ отзывов</x:v>
      </x:c>
      <x:c r="P60" s="18" t="str">
        <x:f>HYPERLINK("https://dynamic-media-cdn.tripadvisor.com/media/photo-o/28/1c/fb/fd/bali-botanic-garden.jpg?h=400&amp;s=1&amp;w=700","Tripadvisor / фото ↗")</x:f>
        <x:v>Tripadvisor / фото ↗</x:v>
      </x:c>
      <x:c r="Q60" s="18" t="str">
        <x:f>HYPERLINK("#'Места'!A50","В список →")</x:f>
        <x:v>В список →</x:v>
      </x:c>
    </x:row>
    <x:row r="61" ht="108.75" customHeight="1">
      <x:c r="A61" s="30" t="n">
        <x:v>55</x:v>
      </x:c>
      <x:c r="B61" s="7" t="str">
        <x:v>Bunut Bolong</x:v>
      </x:c>
      <x:c r="C61" s="4" t="str">
        <x:v>Днём по пути</x:v>
      </x:c>
      <x:c r="D61" s="4" t="str">
        <x:v>Далеко от обычных маршрутов; старые отзывы, деревенская дорога.</x:v>
      </x:c>
      <x:c r="E61" s="4" t="str">
        <x:v>Darren_balitours · 10.2024, туроператор: рекомендует как красивую историческую остановку.</x:v>
      </x:c>
      <x:c r="F61" s="4" t="str">
        <x:v>Jackslodon · 03.2020, старый отзыв: понравились большое дерево с отверстием и горный пейзаж.</x:v>
      </x:c>
      <x:c r="G61" s="8" t="str">
        <x:f>HYPERLINK("https://www.tripadvisor.com/Attraction_Review-g1234719-d7043115-Reviews-Bunut_Bolong-Pekutatan_Bali.html","Читать ↗")</x:f>
        <x:v>Читать ↗</x:v>
      </x:c>
      <x:c r="H61" s="8" t="str">
        <x:f>HYPERLINK("https://www.tripadvisor.com/Attraction_Review-g1234719-d7043115-Reviews-Bunut_Bolong-Pekutatan_Bali.html","Читать ↗")</x:f>
        <x:v>Читать ↗</x:v>
      </x:c>
      <x:c r="I61" s="8" t="str">
        <x:f>HYPERLINK("https://www.tripadvisor.com/Attraction_Review-g1234719-d7043115-Reviews-Bunut_Bolong-Pekutatan_Bali.html","TA ↗")</x:f>
        <x:v>TA ↗</x:v>
      </x:c>
      <x:c r="J61" s="43" t="n">
        <x:v>-8.3867737</x:v>
      </x:c>
      <x:c r="K61" s="43" t="n">
        <x:v>114.8735337</x:v>
      </x:c>
      <x:c r="L61" s="4" t="str">
        <x:v>Точка/центр объекта по OpenStreetMap</x:v>
      </x:c>
      <x:c r="M61" s="8" t="str">
        <x:f>HYPERLINK("https://www.openstreetmap.org/node/4760876821","Координаты ↗")</x:f>
        <x:v>Координаты ↗</x:v>
      </x:c>
      <x:c r="N61" s="4" t="str">
        <x:v>29.09.2026</x:v>
      </x:c>
      <x:c r="O61" s="4" t="str">
        <x:v>50+ отзывов</x:v>
      </x:c>
      <x:c r="P61" s="8" t="str">
        <x:f>HYPERLINK("https://dynamic-media-cdn.tripadvisor.com/media/photo-o/0a/c8/06/75/arbol.jpg?h=300&amp;s=1&amp;w=400","Tripadvisor / фото ↗")</x:f>
        <x:v>Tripadvisor / фото ↗</x:v>
      </x:c>
      <x:c r="Q61" s="8" t="str">
        <x:f>HYPERLINK("#'Места'!A74","В список →")</x:f>
        <x:v>В список →</x:v>
      </x:c>
    </x:row>
    <x:row r="62" ht="108.75" customHeight="1">
      <x:c r="A62" s="30" t="n">
        <x:v>56</x:v>
      </x:c>
      <x:c r="B62" s="17" t="str">
        <x:v>Savana Tianyar</x:v>
      </x:c>
      <x:c r="C62" s="16" t="str">
        <x:v>Рассвет</x:v>
      </x:c>
      <x:c r="D62" s="16" t="str">
        <x:v>Грунтовая дорога, пыль, местами добыча песка; трава меняет цвет по сезону.</x:v>
      </x:c>
      <x:c r="E62" s="16" t="str">
        <x:v>Alfakilo Azis · 12.2025, Google через HHWT: красивые виды, но каменистая дорога и работающие песчаные карьеры.</x:v>
      </x:c>
      <x:c r="F62" s="16" t="str">
        <x:v>miranda warokka · 12.2025, Google через HHWT: в декабре саванна была зелёной, понравилась для необычного выезда.</x:v>
      </x:c>
      <x:c r="G62" s="18" t="str">
        <x:f>HYPERLINK("https://www.havehalalwilltravel.com/id/aktivitas/ramah-muslim/savana-tianyar","Читать ↗")</x:f>
        <x:v>Читать ↗</x:v>
      </x:c>
      <x:c r="H62" s="18" t="str">
        <x:f>HYPERLINK("https://www.havehalalwilltravel.com/id/aktivitas/ramah-muslim/savana-tianyar","Читать ↗")</x:f>
        <x:v>Читать ↗</x:v>
      </x:c>
      <x:c r="I62" s="18" t="str">
        <x:f>HYPERLINK("https://wanderlog.com/place/details/786403/savana-tianyar","Google* ↗")</x:f>
        <x:v>Google* ↗</x:v>
      </x:c>
      <x:c r="J62" s="44" t="n">
        <x:v>-8.225012</x:v>
      </x:c>
      <x:c r="K62" s="44" t="n">
        <x:v>115.507786</x:v>
      </x:c>
      <x:c r="L62" s="16" t="str">
        <x:v>Точка саванны; подъезд уточнять</x:v>
      </x:c>
      <x:c r="M62" s="18" t="str">
        <x:f>HYPERLINK("https://wanderlog.com/place/details/786403/savana-tianyar","Координаты ↗")</x:f>
        <x:v>Координаты ↗</x:v>
      </x:c>
      <x:c r="N62" s="16" t="str">
        <x:v>29.09.2026</x:v>
      </x:c>
      <x:c r="O62" s="16" t="str">
        <x:v>Отдельная площадка</x:v>
      </x:c>
      <x:c r="P62" s="18" t="str">
        <x:f>HYPERLINK("https://itin-dev.wanderlogstatic.com/freeImage/0kkSADv9UZJeBOVIeluqKm1m9dc5nt4Z","Wanderlog / фото ↗")</x:f>
        <x:v>Wanderlog / фото ↗</x:v>
      </x:c>
      <x:c r="Q62" s="18" t="str">
        <x:f>HYPERLINK("#'Места'!A83","В список →")</x:f>
        <x:v>В список →</x:v>
      </x:c>
    </x:row>
    <x:row r="63" ht="108.75" customHeight="1">
      <x:c r="A63" s="32" t="n">
        <x:v>57</x:v>
      </x:c>
      <x:c r="B63" s="7" t="str">
        <x:v>Tenganan Ancient Village</x:v>
      </x:c>
      <x:c r="C63" s="4" t="str">
        <x:v>Днём</x:v>
      </x:c>
      <x:c r="D63" s="4" t="str">
        <x:v>Визит может превратиться в продажу сувениров; это живая деревня, а не декорация.</x:v>
      </x:c>
      <x:c r="E63" s="4" t="str">
        <x:v>Monica Cottone · дата не указана в выдержке: объяснения гида интересны, но были продажи тканей и ожидание чаевых.</x:v>
      </x:c>
      <x:c r="F63" s="4" t="str">
        <x:v>Maria K · 09.2026: не понравились тесные клетки с петухами и туристическая постановочность.</x:v>
      </x:c>
      <x:c r="G63" s="8" t="str">
        <x:f>HYPERLINK("https://www.tripadvisor.com/Attraction_Review-g469405-d3470659-Reviews-Tenganan_Ancient_Village-Tenganan_Manggis_Bali.html","Читать ↗")</x:f>
        <x:v>Читать ↗</x:v>
      </x:c>
      <x:c r="H63" s="8" t="str">
        <x:f>HYPERLINK("https://www.tripadvisor.com/Attraction_Review-g469405-d3470659-Reviews-Tenganan_Ancient_Village-Tenganan_Manggis_Bali.html","Читать ↗")</x:f>
        <x:v>Читать ↗</x:v>
      </x:c>
      <x:c r="I63" s="8" t="str">
        <x:f>HYPERLINK("https://www.tripadvisor.com/Attraction_Review-g469405-d3470659-Reviews-Tenganan_Ancient_Village-Tenganan_Manggis_Bali.html","TA ↗")</x:f>
        <x:v>TA ↗</x:v>
      </x:c>
      <x:c r="J63" s="43" t="n">
        <x:v>-8.4764705</x:v>
      </x:c>
      <x:c r="K63" s="43" t="n">
        <x:v>115.5722248</x:v>
      </x:c>
      <x:c r="L63" s="4" t="str">
        <x:v>Ориентир района/территории; вход уточнить</x:v>
      </x:c>
      <x:c r="M63" s="8" t="str">
        <x:f>HYPERLINK("https://www.openstreetmap.org/relation/20447510","Координаты ↗")</x:f>
        <x:v>Координаты ↗</x:v>
      </x:c>
      <x:c r="N63" s="4" t="str">
        <x:v>29.09.2026</x:v>
      </x:c>
      <x:c r="O63" s="4" t="str">
        <x:v>50+ отзывов</x:v>
      </x:c>
      <x:c r="P63" s="8" t="str">
        <x:f>HYPERLINK("https://dynamic-media-cdn.tripadvisor.com/media/photo-o/0f/6b/4b/3e/le-village.jpg?h=400&amp;s=1&amp;w=700","Tripadvisor / фото ↗")</x:f>
        <x:v>Tripadvisor / фото ↗</x:v>
      </x:c>
      <x:c r="Q63" s="8" t="str">
        <x:f>HYPERLINK("#'Места'!A46","В список →")</x:f>
        <x:v>В список →</x:v>
      </x:c>
    </x:row>
    <x:row r="64" ht="108.75" customHeight="1">
      <x:c r="A64" s="30" t="n">
        <x:v>58</x:v>
      </x:c>
      <x:c r="B64" s="17" t="str">
        <x:v>Bali Butterfly Park</x:v>
      </x:c>
      <x:c r="C64" s="16" t="str">
        <x:v>Утро</x:v>
      </x:c>
      <x:c r="D64" s="16" t="str">
        <x:v>Не ожидать огромного зоопарка; размер экспозиции ограничен.</x:v>
      </x:c>
      <x:c r="E64" s="16" t="str">
        <x:v>Bruce T · 08.2026: интересное посещение, видел около семи-восьми видов бабочек.</x:v>
      </x:c>
      <x:c r="F64" s="16" t="str">
        <x:v>Yvonne J · 06.2026: понравились знающие сотрудники и помощь с фотографиями.</x:v>
      </x:c>
      <x:c r="G64" s="18" t="str">
        <x:f>HYPERLINK("https://www.tripadvisor.com/Attraction_Review-g19415112-d592165-Reviews-Bali_Butterfly_Park-Belalang_Kediri_Bali.html","Читать ↗")</x:f>
        <x:v>Читать ↗</x:v>
      </x:c>
      <x:c r="H64" s="18" t="str">
        <x:f>HYPERLINK("https://www.tripadvisor.com/Attraction_Review-g19415112-d592165-Reviews-Bali_Butterfly_Park-Belalang_Kediri_Bali.html","Читать ↗")</x:f>
        <x:v>Читать ↗</x:v>
      </x:c>
      <x:c r="I64" s="18" t="str">
        <x:f>HYPERLINK("https://www.tripadvisor.com/Attraction_Review-g19415112-d592165-Reviews-Bali_Butterfly_Park-Belalang_Kediri_Bali.html","TA ↗")</x:f>
        <x:v>TA ↗</x:v>
      </x:c>
      <x:c r="J64" s="44" t="n">
        <x:v>-8.4794589</x:v>
      </x:c>
      <x:c r="K64" s="44" t="n">
        <x:v>115.1346292</x:v>
      </x:c>
      <x:c r="L64" s="16" t="str">
        <x:v>Точка/центр объекта по OpenStreetMap</x:v>
      </x:c>
      <x:c r="M64" s="18" t="str">
        <x:f>HYPERLINK("https://www.openstreetmap.org/node/641637893","Координаты ↗")</x:f>
        <x:v>Координаты ↗</x:v>
      </x:c>
      <x:c r="N64" s="16" t="str">
        <x:v>29.09.2026</x:v>
      </x:c>
      <x:c r="O64" s="16" t="str">
        <x:v>50+ отзывов</x:v>
      </x:c>
      <x:c r="P64" s="18" t="str">
        <x:f>HYPERLINK("https://dynamic-media-cdn.tripadvisor.com/media/photo-o/0d/13/6b/b0/farfalle.jpg?h=400&amp;s=1&amp;w=700","Tripadvisor / фото ↗")</x:f>
        <x:v>Tripadvisor / фото ↗</x:v>
      </x:c>
      <x:c r="Q64" s="18" t="str">
        <x:f>HYPERLINK("#'Места'!A45","В список →")</x:f>
        <x:v>В список →</x:v>
      </x:c>
    </x:row>
    <x:row r="65" ht="108.75" customHeight="1">
      <x:c r="A65" s="30" t="n">
        <x:v>59</x:v>
      </x:c>
      <x:c r="B65" s="7" t="str">
        <x:v>Beji Guwang Hidden Canyon</x:v>
      </x:c>
      <x:c r="C65" s="4" t="str">
        <x:v>После проверки погоды</x:v>
      </x:c>
      <x:c r="D65" s="4" t="str">
        <x:v>Не идти при ливне/высокой воде; нужны цепкая обувь и свободные руки. Маленьким детям сложно.</x:v>
      </x:c>
      <x:c r="E65" s="4" t="str">
        <x:v>Ashlee_s0711 · 11.2025: гиды внимательно помогали семье; красивый маршрут и рисовые поля на выходе.</x:v>
      </x:c>
      <x:c r="F65" s="4" t="str">
        <x:v>Aramie Y · конец апреля, год не виден: с четырёхлетним ребёнком оказалось сложно, местами вода была глубже роста взрослых.</x:v>
      </x:c>
      <x:c r="G65" s="8" t="str">
        <x:f>HYPERLINK("https://www.tripadvisor.com/Attraction_Review-g19140131-d8866501-Reviews-Beji_Guwang_Hidden_Canyon-Guwang_Sukawati_Gianyar_Regency_Bali.html","Читать ↗")</x:f>
        <x:v>Читать ↗</x:v>
      </x:c>
      <x:c r="H65" s="8" t="str">
        <x:f>HYPERLINK("https://www.tripadvisor.com/Attraction_Review-g19140131-d8866501-Reviews-Beji_Guwang_Hidden_Canyon-Guwang_Sukawati_Gianyar_Regency_Bali.html","Читать ↗")</x:f>
        <x:v>Читать ↗</x:v>
      </x:c>
      <x:c r="I65" s="8" t="str">
        <x:f>HYPERLINK("https://www.tripadvisor.com/Attraction_Review-g19140131-d8866501-Reviews-Beji_Guwang_Hidden_Canyon-Guwang_Sukawati_Gianyar_Regency_Bali.html","TA ↗")</x:f>
        <x:v>TA ↗</x:v>
      </x:c>
      <x:c r="J65" s="43" t="n">
        <x:v>-8.6099018</x:v>
      </x:c>
      <x:c r="K65" s="43" t="n">
        <x:v>115.291164</x:v>
      </x:c>
      <x:c r="L65" s="4" t="str">
        <x:v>Точка/центр объекта по OpenStreetMap</x:v>
      </x:c>
      <x:c r="M65" s="8" t="str">
        <x:f>HYPERLINK("https://www.openstreetmap.org/node/5922184887","Координаты ↗")</x:f>
        <x:v>Координаты ↗</x:v>
      </x:c>
      <x:c r="N65" s="4" t="str">
        <x:v>29.09.2026</x:v>
      </x:c>
      <x:c r="O65" s="4" t="str">
        <x:v>50+ отзывов</x:v>
      </x:c>
      <x:c r="P65" s="8" t="str">
        <x:f>HYPERLINK("https://dynamic-media-cdn.tripadvisor.com/media/photo-o/19/c9/16/97/20190828-125000a-snap.jpg?h=400&amp;s=1&amp;w=700","Tripadvisor / фото ↗")</x:f>
        <x:v>Tripadvisor / фото ↗</x:v>
      </x:c>
      <x:c r="Q65" s="8" t="str">
        <x:f>HYPERLINK("#'Места'!A60","В список →")</x:f>
        <x:v>В список →</x:v>
      </x:c>
    </x:row>
    <x:row r="66" ht="108.75" customHeight="1">
      <x:c r="A66" s="35" t="n">
        <x:v>60</x:v>
      </x:c>
      <x:c r="B66" s="17" t="str">
        <x:v>Ibu Oka 3</x:v>
      </x:c>
      <x:c r="C66" s="16" t="str">
        <x:v>Ранний обед</x:v>
      </x:c>
      <x:c r="D66" s="16" t="str">
        <x:v>Именно филиал №3. Блюда могут закончиться; отзывы о вкусе и качестве неоднозначные.</x:v>
      </x:c>
      <x:c r="E66" s="16" t="str">
        <x:v>FlyingKiwi1010 · 05.2024: сочное мясо и приятные специи, острый самбал подали отдельно.</x:v>
      </x:c>
      <x:c r="F66" s="16" t="str">
        <x:v>Hiiroo · 09.2023: вкусно, но небольшая порция кожи; несколько раз приходили после распродажи.</x:v>
      </x:c>
      <x:c r="G66" s="18" t="str">
        <x:f>HYPERLINK("https://www.tripadvisor.com/Restaurant_Review-g297701-d3680515-Reviews-Warung_Babi_Guling_Ibu_Oka_3-Ubud_Gianyar_Regency_Bali.html","Читать ↗")</x:f>
        <x:v>Читать ↗</x:v>
      </x:c>
      <x:c r="H66" s="18" t="str">
        <x:f>HYPERLINK("https://www.tripadvisor.com/Restaurant_Review-g297701-d3680515-Reviews-Warung_Babi_Guling_Ibu_Oka_3-Ubud_Gianyar_Regency_Bali.html","Читать ↗")</x:f>
        <x:v>Читать ↗</x:v>
      </x:c>
      <x:c r="I66" s="18" t="str">
        <x:f>HYPERLINK("https://www.tripadvisor.co.uk/Restaurant_Review-g297701-d3680515-Reviews-Warung_Babi_Guling_Ibu_Oka_3-Ubud_Gianyar_Regency_Bali.html","TA ↗")</x:f>
        <x:v>TA ↗</x:v>
      </x:c>
      <x:c r="J66" s="44" t="n">
        <x:v>-8.5057435</x:v>
      </x:c>
      <x:c r="K66" s="44" t="n">
        <x:v>115.2640677</x:v>
      </x:c>
      <x:c r="L66" s="16" t="str">
        <x:v>Точка/центр объекта по OpenStreetMap</x:v>
      </x:c>
      <x:c r="M66" s="18" t="str">
        <x:f>HYPERLINK("https://www.openstreetmap.org/node/6418857685","Координаты ↗")</x:f>
        <x:v>Координаты ↗</x:v>
      </x:c>
      <x:c r="N66" s="16" t="str">
        <x:v>29.09.2026</x:v>
      </x:c>
      <x:c r="O66" s="16" t="str">
        <x:v>50+ отзывов</x:v>
      </x:c>
      <x:c r="P66" s="18" t="str">
        <x:f>HYPERLINK("https://dynamic-media-cdn.tripadvisor.com/media/photo-o/07/de/a3/4b/ibu-oka.jpg?h=500&amp;s=1&amp;w=900","Tripadvisor / фото ↗")</x:f>
        <x:v>Tripadvisor / фото ↗</x:v>
      </x:c>
      <x:c r="Q66" s="18" t="str">
        <x:f>HYPERLINK("#'Места'!A29","В список →")</x:f>
        <x:v>В список →</x:v>
      </x:c>
    </x:row>
    <x:row r="67" ht="108.75" customHeight="1">
      <x:c r="A67" s="35" t="n">
        <x:v>61</x:v>
      </x:c>
      <x:c r="B67" s="7" t="str">
        <x:v>Babi Guling Pak Malen</x:v>
      </x:c>
      <x:c r="C67" s="4" t="str">
        <x:v>Обед до пика</x:v>
      </x:c>
      <x:c r="D67" s="4" t="str">
        <x:v>Остро; свинина. В часы пик приходится искать свободный стол.</x:v>
      </x:c>
      <x:c r="E67" s="4" t="str">
        <x:v>Laren T · 06.2026: особенно понравились хрустящая кожа и суп.</x:v>
      </x:c>
      <x:c r="F67" s="4" t="str">
        <x:v>alice · 09.2025: считает блюда чрезмерно острыми, ассортимент ограниченным.</x:v>
      </x:c>
      <x:c r="G67" s="8" t="str">
        <x:f>HYPERLINK("https://www.tripadvisor.com/Restaurant_Review-g469404-d2629908-Reviews-Warung_Babi_Guling_Pak_Malen-Seminyak_Kuta_District_Badung_Regency_Bali.html","Читать ↗")</x:f>
        <x:v>Читать ↗</x:v>
      </x:c>
      <x:c r="H67" s="8" t="str">
        <x:f>HYPERLINK("https://www.tripadvisor.com/Restaurant_Review-g469404-d2629908-Reviews-Warung_Babi_Guling_Pak_Malen-Seminyak_Kuta_District_Badung_Regency_Bali.html","Читать ↗")</x:f>
        <x:v>Читать ↗</x:v>
      </x:c>
      <x:c r="I67" s="8" t="str">
        <x:f>HYPERLINK("https://www.tripadvisor.com/Restaurant_Review-g469404-d2629908-Reviews-Warung_Babi_Guling_Pak_Malen-Seminyak_Kuta_District_Badung_Regency_Bali.html","TA ↗")</x:f>
        <x:v>TA ↗</x:v>
      </x:c>
      <x:c r="J67" s="43" t="n">
        <x:v>-8.6847967</x:v>
      </x:c>
      <x:c r="K67" s="43" t="n">
        <x:v>115.1690765</x:v>
      </x:c>
      <x:c r="L67" s="4" t="str">
        <x:v>Точка/центр объекта по OpenStreetMap</x:v>
      </x:c>
      <x:c r="M67" s="8" t="str">
        <x:f>HYPERLINK("https://www.openstreetmap.org/node/4177762491","Координаты ↗")</x:f>
        <x:v>Координаты ↗</x:v>
      </x:c>
      <x:c r="N67" s="4" t="str">
        <x:v>29.09.2026</x:v>
      </x:c>
      <x:c r="O67" s="4" t="str">
        <x:v>50+ отзывов</x:v>
      </x:c>
      <x:c r="P67" s="8" t="str">
        <x:f>HYPERLINK("https://dynamic-media-cdn.tripadvisor.com/media/photo-o/15/6a/49/0a/img20181010175846-largejpg.jpg?h=500&amp;s=1&amp;w=900","Tripadvisor / фото ↗")</x:f>
        <x:v>Tripadvisor / фото ↗</x:v>
      </x:c>
      <x:c r="Q67" s="8" t="str">
        <x:f>HYPERLINK("#'Места'!A40","В список →")</x:f>
        <x:v>В список →</x:v>
      </x:c>
    </x:row>
    <x:row r="68" ht="108.75" customHeight="1">
      <x:c r="A68" s="35" t="n">
        <x:v>62</x:v>
      </x:c>
      <x:c r="B68" s="17" t="str">
        <x:v>Nasi Ayam Kedewatan Ibu Mangku</x:v>
      </x:c>
      <x:c r="C68" s="16" t="str">
        <x:v>Обед</x:v>
      </x:c>
      <x:c r="D68" s="16" t="str">
        <x:v>Филиал Kedewatan, Убуд. Некоторые блюда острые, порция курицы небольшая.</x:v>
      </x:c>
      <x:c r="E68" s="16" t="str">
        <x:v>Brad · 05.2024: свежие ингредиенты и разумная цена; острее многих других nasi campur.</x:v>
      </x:c>
      <x:c r="F68" s="16" t="str">
        <x:v>papa_soey · 06.2024: вкусная курица и необычная домашняя обстановка, но порция курицы мала.</x:v>
      </x:c>
      <x:c r="G68" s="18" t="str">
        <x:f>HYPERLINK("https://www.tripadvisor.com/Restaurant_Review-g297701-d3423860-Reviews-Nasi_Ayam_Kedewatan_Ibu_Mangku-Ubud_Gianyar_Regency_Bali.html","Читать ↗")</x:f>
        <x:v>Читать ↗</x:v>
      </x:c>
      <x:c r="H68" s="18" t="str">
        <x:f>HYPERLINK("https://www.tripadvisor.com/Restaurant_Review-g297701-d3423860-Reviews-Nasi_Ayam_Kedewatan_Ibu_Mangku-Ubud_Gianyar_Regency_Bali.html","Читать ↗")</x:f>
        <x:v>Читать ↗</x:v>
      </x:c>
      <x:c r="I68" s="18" t="str">
        <x:f>HYPERLINK("https://www.tripadvisor.com/Restaurant_Review-g297701-d3423860-Reviews-Nasi_Ayam_Kedewatan_Ibu_Mangku-Ubud_Gianyar_Regency_Bali.html","TA ↗")</x:f>
        <x:v>TA ↗</x:v>
      </x:c>
      <x:c r="J68" s="44" t="n">
        <x:v>-8.4826487</x:v>
      </x:c>
      <x:c r="K68" s="44" t="n">
        <x:v>115.2464497</x:v>
      </x:c>
      <x:c r="L68" s="16" t="str">
        <x:v>Точка/центр объекта по OpenStreetMap</x:v>
      </x:c>
      <x:c r="M68" s="18" t="str">
        <x:f>HYPERLINK("https://www.openstreetmap.org/node/4860832323","Координаты ↗")</x:f>
        <x:v>Координаты ↗</x:v>
      </x:c>
      <x:c r="N68" s="16" t="str">
        <x:v>29.09.2026</x:v>
      </x:c>
      <x:c r="O68" s="16" t="str">
        <x:v>50+ отзывов</x:v>
      </x:c>
      <x:c r="P68" s="18" t="str">
        <x:f>HYPERLINK("https://dynamic-media-cdn.tripadvisor.com/media/photo-o/0c/3d/9d/fa/keren-kan-tempatnya.jpg?h=-1&amp;s=1&amp;w=900","Tripadvisor / фото ↗")</x:f>
        <x:v>Tripadvisor / фото ↗</x:v>
      </x:c>
      <x:c r="Q68" s="18" t="str">
        <x:f>HYPERLINK("#'Места'!A62","В список →")</x:f>
        <x:v>В список →</x:v>
      </x:c>
    </x:row>
    <x:row r="69" ht="108.75" customHeight="1">
      <x:c r="A69" s="35" t="n">
        <x:v>63</x:v>
      </x:c>
      <x:c r="B69" s="7" t="str">
        <x:v>Bebek Bengil Ubud</x:v>
      </x:c>
      <x:c r="C69" s="4" t="str">
        <x:v>Обед</x:v>
      </x:c>
      <x:c r="D69" s="4" t="str">
        <x:v>Платят также за территорию и атмосферу; в отзывах бывают жалобы на сухую утку.</x:v>
      </x:c>
      <x:c r="E69" s="4" t="str">
        <x:v>Bridget W · 09.2025: красивый большой сад, вкусная утка и специи.</x:v>
      </x:c>
      <x:c r="F69" s="4" t="str">
        <x:v>R.N.N. · 11.2025: утка показалась пересушенной и костлявой.</x:v>
      </x:c>
      <x:c r="G69" s="8" t="str">
        <x:f>HYPERLINK("https://www.tripadvisor.com/Restaurant_Review-g297701-d991554-Reviews-Bebek_Bengil_Ubud-Ubud_Gianyar_Regency_Bali.html","Читать ↗")</x:f>
        <x:v>Читать ↗</x:v>
      </x:c>
      <x:c r="H69" s="8" t="str">
        <x:f>HYPERLINK("https://www.tripadvisor.com/Restaurant_Review-g297701-d991554-Reviews-Bebek_Bengil_Ubud-Ubud_Gianyar_Regency_Bali.html","Читать ↗")</x:f>
        <x:v>Читать ↗</x:v>
      </x:c>
      <x:c r="I69" s="8" t="str">
        <x:f>HYPERLINK("https://www.tripadvisor.com/Restaurant_Review-g297701-d991554-Reviews-Bebek_Bengil_Ubud-Ubud_Gianyar_Regency_Bali.html","TA ↗")</x:f>
        <x:v>TA ↗</x:v>
      </x:c>
      <x:c r="J69" s="43" t="n">
        <x:v>-8.5177925</x:v>
      </x:c>
      <x:c r="K69" s="43" t="n">
        <x:v>115.2636787</x:v>
      </x:c>
      <x:c r="L69" s="4" t="str">
        <x:v>Точка/центр объекта по OpenStreetMap</x:v>
      </x:c>
      <x:c r="M69" s="8" t="str">
        <x:f>HYPERLINK("https://www.openstreetmap.org/way/512366894","Координаты ↗")</x:f>
        <x:v>Координаты ↗</x:v>
      </x:c>
      <x:c r="N69" s="4" t="str">
        <x:v>29.09.2026</x:v>
      </x:c>
      <x:c r="O69" s="4" t="str">
        <x:v>50+ отзывов</x:v>
      </x:c>
      <x:c r="P69" s="8" t="str">
        <x:f>HYPERLINK("https://dynamic-media-cdn.tripadvisor.com/media/photo-o/2e/da/48/ae/crispy-duck-original.jpg?h=500&amp;s=1&amp;w=900","Tripadvisor / фото ↗")</x:f>
        <x:v>Tripadvisor / фото ↗</x:v>
      </x:c>
      <x:c r="Q69" s="8" t="str">
        <x:f>HYPERLINK("#'Места'!A21","В список →")</x:f>
        <x:v>В список →</x:v>
      </x:c>
    </x:row>
    <x:row r="70" ht="108.75" customHeight="1">
      <x:c r="A70" s="35" t="n">
        <x:v>64</x:v>
      </x:c>
      <x:c r="B70" s="17" t="str">
        <x:v>Naughty Nuri’s Ubud</x:v>
      </x:c>
      <x:c r="C70" s="16" t="str">
        <x:v>Обед или ранний ужин</x:v>
      </x:c>
      <x:c r="D70" s="16" t="str">
        <x:v>Филиал Sanggingan, Убуд; запах гриля, возможная очередь.</x:v>
      </x:c>
      <x:c r="E70" s="16" t="str">
        <x:v>Michael S · 09.2025: сочные рёбра с хорошим маринадом и дружелюбное обслуживание.</x:v>
      </x:c>
      <x:c r="F70" s="16" t="str">
        <x:v>Holger · 07.2025: понравились рёбра, сатай и оживлённая атмосфера.</x:v>
      </x:c>
      <x:c r="G70" s="18" t="str">
        <x:f>HYPERLINK("https://www.tripadvisor.com/Restaurant_Review-g297701-d1077574-Reviews-Naughty_Nuri_s_Warung_and_Grill-Ubud_Gianyar_Regency_Bali.html","Читать ↗")</x:f>
        <x:v>Читать ↗</x:v>
      </x:c>
      <x:c r="H70" s="18" t="str">
        <x:f>HYPERLINK("https://www.tripadvisor.com/Restaurant_Review-g297701-d1077574-Reviews-Naughty_Nuri_s_Warung_and_Grill-Ubud_Gianyar_Regency_Bali.html","Читать ↗")</x:f>
        <x:v>Читать ↗</x:v>
      </x:c>
      <x:c r="I70" s="18" t="str">
        <x:f>HYPERLINK("https://www.tripadvisor.com/Restaurant_Review-g297701-d1077574-Reviews-Naughty_Nuri_s_Warung_and_Grill-Ubud_Gianyar_Regency_Bali.html","TA ↗")</x:f>
        <x:v>TA ↗</x:v>
      </x:c>
      <x:c r="J70" s="44" t="n">
        <x:v>-8.4942845</x:v>
      </x:c>
      <x:c r="K70" s="44" t="n">
        <x:v>115.2531527</x:v>
      </x:c>
      <x:c r="L70" s="16" t="str">
        <x:v>Точка/центр объекта по OpenStreetMap</x:v>
      </x:c>
      <x:c r="M70" s="18" t="str">
        <x:f>HYPERLINK("https://www.openstreetmap.org/node/1292873008","Координаты ↗")</x:f>
        <x:v>Координаты ↗</x:v>
      </x:c>
      <x:c r="N70" s="16" t="str">
        <x:v>29.09.2026</x:v>
      </x:c>
      <x:c r="O70" s="16" t="str">
        <x:v>50+ отзывов</x:v>
      </x:c>
      <x:c r="P70" s="18" t="str">
        <x:f>HYPERLINK("https://dynamic-media-cdn.tripadvisor.com/media/photo-o/04/8f/b0/70/naughty-nuri-s-warung.jpg?h=500&amp;s=1&amp;w=900","Tripadvisor / фото ↗")</x:f>
        <x:v>Tripadvisor / фото ↗</x:v>
      </x:c>
      <x:c r="Q70" s="18" t="str">
        <x:f>HYPERLINK("#'Места'!A23","В список →")</x:f>
        <x:v>В список →</x:v>
      </x:c>
    </x:row>
    <x:row r="71" ht="108.75" customHeight="1">
      <x:c r="A71" s="35" t="n">
        <x:v>65</x:v>
      </x:c>
      <x:c r="B71" s="7" t="str">
        <x:v>Warung Mak Beng</x:v>
      </x:c>
      <x:c r="C71" s="4" t="str">
        <x:v>Обед до пика</x:v>
      </x:c>
      <x:c r="D71" s="4" t="str">
        <x:v>Почти нет выбора блюд; острый самбал и очереди.</x:v>
      </x:c>
      <x:c r="E71" s="4" t="str">
        <x:v>Bernhard B · 05.2025: отличная рыба, но суп и соус очень острые.</x:v>
      </x:c>
      <x:c r="F71" s="4" t="str">
        <x:v>Deena V · 05.2026: очередь движется быстро; хороший выбор для любителей рыбы и острого.</x:v>
      </x:c>
      <x:c r="G71" s="8" t="str">
        <x:f>HYPERLINK("https://www.tripadvisor.com/Restaurant_Review-g297700-d2305991-Reviews-Warung_Mak_Beng-Sanur_Denpasar_Bali.html","Читать ↗")</x:f>
        <x:v>Читать ↗</x:v>
      </x:c>
      <x:c r="H71" s="8" t="str">
        <x:f>HYPERLINK("https://www.tripadvisor.com/Restaurant_Review-g297700-d2305991-Reviews-Warung_Mak_Beng-Sanur_Denpasar_Bali.html","Читать ↗")</x:f>
        <x:v>Читать ↗</x:v>
      </x:c>
      <x:c r="I71" s="8" t="str">
        <x:f>HYPERLINK("https://www.tripadvisor.com/Restaurant_Review-g297700-d2305991-Reviews-Warung_Mak_Beng-Sanur_Denpasar_Bali.html","TA ↗")</x:f>
        <x:v>TA ↗</x:v>
      </x:c>
      <x:c r="J71" s="43" t="n">
        <x:v>-8.6737273</x:v>
      </x:c>
      <x:c r="K71" s="43" t="n">
        <x:v>115.2630457</x:v>
      </x:c>
      <x:c r="L71" s="4" t="str">
        <x:v>Точка/центр объекта по OpenStreetMap</x:v>
      </x:c>
      <x:c r="M71" s="8" t="str">
        <x:f>HYPERLINK("https://www.openstreetmap.org/node/5408947461","Координаты ↗")</x:f>
        <x:v>Координаты ↗</x:v>
      </x:c>
      <x:c r="N71" s="4" t="str">
        <x:v>29.09.2026</x:v>
      </x:c>
      <x:c r="O71" s="4" t="str">
        <x:v>50+ отзывов</x:v>
      </x:c>
      <x:c r="P71" s="8" t="str">
        <x:f>HYPERLINK("https://dynamic-media-cdn.tripadvisor.com/media/photo-o/11/4f/ea/b6/view-from-outside.jpg?h=500&amp;s=1&amp;w=900","Tripadvisor / фото ↗")</x:f>
        <x:v>Tripadvisor / фото ↗</x:v>
      </x:c>
      <x:c r="Q71" s="8" t="str">
        <x:f>HYPERLINK("#'Места'!A43","В список →")</x:f>
        <x:v>В список →</x:v>
      </x:c>
    </x:row>
    <x:row r="72" ht="108.75" customHeight="1">
      <x:c r="A72" s="35" t="n">
        <x:v>66</x:v>
      </x:c>
      <x:c r="B72" s="17" t="str">
        <x:v>Nasi Ayam Men Weti</x:v>
      </x:c>
      <x:c r="C72" s="16" t="str">
        <x:v>Завтрак; график проверить</x:v>
      </x:c>
      <x:c r="D72" s="16" t="str">
        <x:v>Простая уличная посадка, очередь; точка на Jl. Segara Ayu, не филиал в Денпасаре.</x:v>
      </x:c>
      <x:c r="E72" s="16" t="str">
        <x:v>Carlos Arya de Pange · 05.2024: понравилось сочетание всех компонентов nasi campur.</x:v>
      </x:c>
      <x:c r="F72" s="16" t="str">
        <x:v>CFYasutomi · 12.2019, старый отзыв: хороший завтрак у пляжа, но чили очень острый.</x:v>
      </x:c>
      <x:c r="G72" s="18" t="str">
        <x:f>HYPERLINK("https://www.tripadvisor.com/Restaurant_Review-g297700-d8758350-Reviews-Nasi_Ayam_Men_Weti-Sanur_Denpasar_Bali.html","Читать ↗")</x:f>
        <x:v>Читать ↗</x:v>
      </x:c>
      <x:c r="H72" s="18" t="str">
        <x:f>HYPERLINK("https://www.tripadvisor.com/Restaurant_Review-g297700-d8758350-Reviews-Nasi_Ayam_Men_Weti-Sanur_Denpasar_Bali.html","Читать ↗")</x:f>
        <x:v>Читать ↗</x:v>
      </x:c>
      <x:c r="I72" s="18" t="str">
        <x:f>HYPERLINK("https://www.tripadvisor.com/Restaurant_Review-g297700-d8758350-Reviews-Nasi_Ayam_Men_Weti-Sanur_Denpasar_Bali.html","TA ↗")</x:f>
        <x:v>TA ↗</x:v>
      </x:c>
      <x:c r="J72" s="44" t="n">
        <x:v>-8.68265</x:v>
      </x:c>
      <x:c r="K72" s="44" t="n">
        <x:v>115.263754</x:v>
      </x:c>
      <x:c r="L72" s="16" t="str">
        <x:v>Историческая точка на Segara Ayu; проверить вход</x:v>
      </x:c>
      <x:c r="M72" s="18" t="str">
        <x:f>HYPERLINK("https://sweetestchili.wordpress.com/2017/05/","Координаты ↗")</x:f>
        <x:v>Координаты ↗</x:v>
      </x:c>
      <x:c r="N72" s="16" t="str">
        <x:v>29.09.2026</x:v>
      </x:c>
      <x:c r="O72" s="16" t="str">
        <x:v>50+ отзывов</x:v>
      </x:c>
      <x:c r="P72" s="18" t="str">
        <x:f>HYPERLINK("https://dynamic-media-cdn.tripadvisor.com/media/photo-o/2c/a6/ca/7d/caption.jpg?h=500&amp;s=1&amp;w=900","Tripadvisor / фото ↗")</x:f>
        <x:v>Tripadvisor / фото ↗</x:v>
      </x:c>
      <x:c r="Q72" s="18" t="str">
        <x:f>HYPERLINK("#'Места'!A72","В список →")</x:f>
        <x:v>В список →</x:v>
      </x:c>
    </x:row>
    <x:row r="73" ht="108.75" customHeight="1">
      <x:c r="A73" s="35" t="n">
        <x:v>67</x:v>
      </x:c>
      <x:c r="B73" s="7" t="str">
        <x:v>Warung Biah Biah</x:v>
      </x:c>
      <x:c r="C73" s="4" t="str">
        <x:v>Ранний ужин</x:v>
      </x:c>
      <x:c r="D73" s="4" t="str">
        <x:v>Центр Убуда; мало столиков, блюда могут приносить по готовности.</x:v>
      </x:c>
      <x:c r="E73" s="4" t="str">
        <x:v>roermobl · 05.2026: простая вкусная еда, разумные цены и вегетарианские варианты.</x:v>
      </x:c>
      <x:c r="F73" s="4" t="str">
        <x:v>koronkoron · 12.2025: мешал дым благовоний, итоговый счёт оказался выше ожиданий.</x:v>
      </x:c>
      <x:c r="G73" s="8" t="str">
        <x:f>HYPERLINK("https://www.tripadvisor.com/Restaurant_Review-g297701-d2506136-Reviews-Warung_Biahbiah-Ubud_Gianyar_Regency_Bali.html","Читать ↗")</x:f>
        <x:v>Читать ↗</x:v>
      </x:c>
      <x:c r="H73" s="8" t="str">
        <x:f>HYPERLINK("https://www.tripadvisor.com/Restaurant_Review-g297701-d2506136-Reviews-Warung_Biahbiah-Ubud_Gianyar_Regency_Bali.html","Читать ↗")</x:f>
        <x:v>Читать ↗</x:v>
      </x:c>
      <x:c r="I73" s="8" t="str">
        <x:f>HYPERLINK("https://www.tripadvisor.com/Restaurant_Review-g297701-d2506136-Reviews-Warung_Biahbiah-Ubud_Gianyar_Regency_Bali.html","TA ↗")</x:f>
        <x:v>TA ↗</x:v>
      </x:c>
      <x:c r="J73" s="43" t="n">
        <x:v>-8.5092413</x:v>
      </x:c>
      <x:c r="K73" s="43" t="n">
        <x:v>115.2642831</x:v>
      </x:c>
      <x:c r="L73" s="4" t="str">
        <x:v>Точка/центр объекта по OpenStreetMap</x:v>
      </x:c>
      <x:c r="M73" s="8" t="str">
        <x:f>HYPERLINK("https://www.openstreetmap.org/node/4744884421","Координаты ↗")</x:f>
        <x:v>Координаты ↗</x:v>
      </x:c>
      <x:c r="N73" s="4" t="str">
        <x:v>29.09.2026</x:v>
      </x:c>
      <x:c r="O73" s="4" t="str">
        <x:v>50+ отзывов</x:v>
      </x:c>
      <x:c r="P73" s="8" t="str">
        <x:f>HYPERLINK("https://dynamic-media-cdn.tripadvisor.com/media/photo-o/02/6a/03/d0/caption.jpg?h=500&amp;s=1&amp;w=900","Tripadvisor / фото ↗")</x:f>
        <x:v>Tripadvisor / фото ↗</x:v>
      </x:c>
      <x:c r="Q73" s="8" t="str">
        <x:f>HYPERLINK("#'Места'!A30","В список →")</x:f>
        <x:v>В список →</x:v>
      </x:c>
    </x:row>
    <x:row r="74" ht="108.75" customHeight="1">
      <x:c r="A74" s="35" t="n">
        <x:v>68</x:v>
      </x:c>
      <x:c r="B74" s="17" t="str">
        <x:v>Warung Mami Ikan Bakar</x:v>
      </x:c>
      <x:c r="C74" s="16" t="str">
        <x:v>Обед; позвонить перед выездом</x:v>
      </x:c>
      <x:c r="D74" s="16" t="str">
        <x:v>Без вида на пляж. Адреса 29x/30X расходятся; проверить актуальный вход, график и наличие улова.</x:v>
      </x:c>
      <x:c r="E74" s="16" t="str">
        <x:v>227elsa · 07.2025: выбрали свежую рыбу и креветки, гриль и соусы очень понравились.</x:v>
      </x:c>
      <x:c r="F74" s="16" t="str">
        <x:v>Kasia · 04.2024: еда нормальная, но креветки были недостаточно хорошо очищены.</x:v>
      </x:c>
      <x:c r="G74" s="18" t="str">
        <x:f>HYPERLINK("https://www.tripadvisor.com/Restaurant_Review-g297696-d4367663-Reviews-Warung_Mami_Ikan_Bakar-Jimbaran_South_Kuta_Badung_Regency_Bali.html","Читать ↗")</x:f>
        <x:v>Читать ↗</x:v>
      </x:c>
      <x:c r="H74" s="18" t="str">
        <x:f>HYPERLINK("https://www.tripadvisor.com/Restaurant_Review-g297696-d4367663-Reviews-Warung_Mami_Ikan_Bakar-Jimbaran_South_Kuta_Badung_Regency_Bali.html","Читать ↗")</x:f>
        <x:v>Читать ↗</x:v>
      </x:c>
      <x:c r="I74" s="18" t="str">
        <x:f>HYPERLINK("https://www.tripadvisor.co.uk/Restaurant_Review-g297696-d4367663-Reviews-Warung_Mami_Ikan_Bakar-Jimbaran_South_Kuta_Badung_Regency_Bali.html","TA ↗")</x:f>
        <x:v>TA ↗</x:v>
      </x:c>
      <x:c r="J74" s="44" t="n">
        <x:v>-8.786274</x:v>
      </x:c>
      <x:c r="K74" s="44" t="n">
        <x:v>115.169814</x:v>
      </x:c>
      <x:c r="L74" s="16" t="str">
        <x:v>29x/30X: вход и переезд уточнить</x:v>
      </x:c>
      <x:c r="M74" s="18" t="str">
        <x:f>HYPERLINK("https://wanderlog.com/place/details/524313/warung-mami-ikan-bakar","Координаты ↗")</x:f>
        <x:v>Координаты ↗</x:v>
      </x:c>
      <x:c r="N74" s="16" t="str">
        <x:v>29.09.2026</x:v>
      </x:c>
      <x:c r="O74" s="16" t="str">
        <x:v>50+ отзывов</x:v>
      </x:c>
      <x:c r="P74" s="18" t="str">
        <x:f>HYPERLINK("https://dynamic-media-cdn.tripadvisor.com/media/photo-o/15/3a/06/f6/photo2jpg.jpg?h=500&amp;s=1&amp;w=900","Tripadvisor / фото ↗")</x:f>
        <x:v>Tripadvisor / фото ↗</x:v>
      </x:c>
      <x:c r="Q74" s="18" t="str">
        <x:f>HYPERLINK("#'Места'!A70","В список →")</x:f>
        <x:v>В список →</x:v>
      </x:c>
    </x:row>
    <x:row r="75" ht="108.75" customHeight="1">
      <x:c r="A75" s="35" t="n">
        <x:v>69</x:v>
      </x:c>
      <x:c r="B75" s="7" t="str">
        <x:v>La Brisa</x:v>
      </x:c>
      <x:c r="C75" s="4" t="str">
        <x:v>Перед закатом</x:v>
      </x:c>
      <x:c r="D75" s="4" t="str">
        <x:v>Условия брони, минимального заказа и отмены проверить заранее.</x:v>
      </x:c>
      <x:c r="E75" s="4" t="str">
        <x:v>Joshua D · 05.2026: атмосфера понравилась, но пицца и полуторачасовая очередь разочаровали.</x:v>
      </x:c>
      <x:c r="F75" s="4" t="str">
        <x:v>Jax · 07.2026: не устроила негибкая отмена брони; стоит заранее прочитать условия.</x:v>
      </x:c>
      <x:c r="G75" s="8" t="str">
        <x:f>HYPERLINK("https://www.tripadvisor.com/Restaurant_Review-g311298-d12971695-Reviews-La_Brisa-Canggu_North_Kuta_Badung_Regency_Bali.html","Читать ↗")</x:f>
        <x:v>Читать ↗</x:v>
      </x:c>
      <x:c r="H75" s="8" t="str">
        <x:f>HYPERLINK("https://www.tripadvisor.com/Restaurant_Review-g311298-d12971695-Reviews-La_Brisa-Canggu_North_Kuta_Badung_Regency_Bali.html","Читать ↗")</x:f>
        <x:v>Читать ↗</x:v>
      </x:c>
      <x:c r="I75" s="8" t="str">
        <x:f>HYPERLINK("https://www.tripadvisor.com/Restaurant_Review-g311298-d12971695-Reviews-La_Brisa-Canggu_North_Kuta_Badung_Regency_Bali.html","TA ↗")</x:f>
        <x:v>TA ↗</x:v>
      </x:c>
      <x:c r="J75" s="43" t="n">
        <x:v>-8.6545804</x:v>
      </x:c>
      <x:c r="K75" s="43" t="n">
        <x:v>115.1248107</x:v>
      </x:c>
      <x:c r="L75" s="4" t="str">
        <x:v>Точка/центр объекта по OpenStreetMap</x:v>
      </x:c>
      <x:c r="M75" s="8" t="str">
        <x:f>HYPERLINK("https://www.openstreetmap.org/node/5246521825","Координаты ↗")</x:f>
        <x:v>Координаты ↗</x:v>
      </x:c>
      <x:c r="N75" s="4" t="str">
        <x:v>29.09.2026</x:v>
      </x:c>
      <x:c r="O75" s="4" t="str">
        <x:v>50+ отзывов</x:v>
      </x:c>
      <x:c r="P75" s="8" t="str">
        <x:f>HYPERLINK("https://dynamic-media-cdn.tripadvisor.com/media/photo-o/17/44/fa/90/sunset-time.jpg?h=500&amp;s=1&amp;w=900","Tripadvisor / фото ↗")</x:f>
        <x:v>Tripadvisor / фото ↗</x:v>
      </x:c>
      <x:c r="Q75" s="8" t="str">
        <x:f>HYPERLINK("#'Места'!A35","В список →")</x:f>
        <x:v>В список →</x:v>
      </x:c>
    </x:row>
    <x:row r="76" ht="108.75" customHeight="1">
      <x:c r="A76" s="35" t="n">
        <x:v>70</x:v>
      </x:c>
      <x:c r="B76" s="17" t="str">
        <x:v>Zest Ubud</x:v>
      </x:c>
      <x:c r="C76" s="16" t="str">
        <x:v>Завтрак или обед</x:v>
      </x:c>
      <x:c r="D76" s="16" t="str">
        <x:v>Вкусы и сервис получают противоречивые отзывы; проверять состав при аллергиях.</x:v>
      </x:c>
      <x:c r="E76" s="16" t="str">
        <x:v>Yael Fattal · 05.2026: очень понравились свежий салат, какао и огуречное мороженое.</x:v>
      </x:c>
      <x:c r="F76" s="16" t="str">
        <x:v>perrinegilliot · 08.2026: красивый интерьер, но медленный сервис и небольшие порции.</x:v>
      </x:c>
      <x:c r="G76" s="18" t="str">
        <x:f>HYPERLINK("https://www.tripadvisor.com/Restaurant_Review-g297701-d13859712-Reviews-Zest_Ubud_Restaurant-Ubud_Gianyar_Regency_Bali.html","Читать ↗")</x:f>
        <x:v>Читать ↗</x:v>
      </x:c>
      <x:c r="H76" s="18" t="str">
        <x:f>HYPERLINK("https://www.tripadvisor.com/Restaurant_Review-g297701-d13859712-Reviews-Zest_Ubud_Restaurant-Ubud_Gianyar_Regency_Bali.html","Читать ↗")</x:f>
        <x:v>Читать ↗</x:v>
      </x:c>
      <x:c r="I76" s="18" t="str">
        <x:f>HYPERLINK("https://www.tripadvisor.com/Restaurant_Review-g297701-d13859712-Reviews-Zest_Ubud_Restaurant-Ubud_Gianyar_Regency_Bali.html","TA ↗")</x:f>
        <x:v>TA ↗</x:v>
      </x:c>
      <x:c r="J76" s="44" t="n">
        <x:v>-8.5050235</x:v>
      </x:c>
      <x:c r="K76" s="44" t="n">
        <x:v>115.2537798</x:v>
      </x:c>
      <x:c r="L76" s="16" t="str">
        <x:v>Точка/центр объекта по OpenStreetMap</x:v>
      </x:c>
      <x:c r="M76" s="18" t="str">
        <x:f>HYPERLINK("https://www.openstreetmap.org/node/5773424753","Координаты ↗")</x:f>
        <x:v>Координаты ↗</x:v>
      </x:c>
      <x:c r="N76" s="16" t="str">
        <x:v>29.09.2026</x:v>
      </x:c>
      <x:c r="O76" s="16" t="str">
        <x:v>50+ отзывов</x:v>
      </x:c>
      <x:c r="P76" s="18" t="str">
        <x:f>HYPERLINK("https://dynamic-media-cdn.tripadvisor.com/media/photo-o/14/92/18/66/zest-is-100-powered-by.jpg?h=500&amp;s=1&amp;w=900","Tripadvisor / фото ↗")</x:f>
        <x:v>Tripadvisor / фото ↗</x:v>
      </x:c>
      <x:c r="Q76" s="18" t="str">
        <x:f>HYPERLINK("#'Места'!A51","В список →")</x:f>
        <x:v>В список →</x:v>
      </x:c>
    </x:row>
    <x:row r="77" ht="108.75" customHeight="1">
      <x:c r="A77" s="35" t="n">
        <x:v>71</x:v>
      </x:c>
      <x:c r="B77" s="7" t="str">
        <x:v>Sate Babi Bawah Pohon</x:v>
      </x:c>
      <x:c r="C77" s="4" t="str">
        <x:v>Обед</x:v>
      </x:c>
      <x:c r="D77" s="4" t="str">
        <x:v>Новая точка на Jl. Dewi Sri Campuhan I; старое место «под деревом» не использовать.</x:v>
      </x:c>
      <x:c r="E77" s="4" t="str">
        <x:v>Raymondale · 02.2025: ароматный сатай и рисовые гарниры; особенно понравилось мясо со специями.</x:v>
      </x:c>
      <x:c r="F77" s="4" t="str">
        <x:v>G V · 04.2024: ждали около часа для заказа, обслуживание и уборка разочаровали.</x:v>
      </x:c>
      <x:c r="G77" s="8" t="str">
        <x:f>HYPERLINK("https://www.tripadvisor.com/Restaurant_Review-g608487-d14206380-Reviews-Sate_Babi_Bawah_Pohon-Legian_Kuta_District_Badung_Regency_Bali.html","Читать ↗")</x:f>
        <x:v>Читать ↗</x:v>
      </x:c>
      <x:c r="H77" s="8" t="str">
        <x:f>HYPERLINK("https://www.tripadvisor.com/Restaurant_Review-g608487-d14206380-Reviews-Sate_Babi_Bawah_Pohon-Legian_Kuta_District_Badung_Regency_Bali.html","Читать ↗")</x:f>
        <x:v>Читать ↗</x:v>
      </x:c>
      <x:c r="I77" s="8" t="str">
        <x:f>HYPERLINK("https://www.tripadvisor.com/Restaurant_Review-g608487-d14206380-Reviews-Sate_Babi_Bawah_Pohon-Legian_Kuta_District_Badung_Regency_Bali.html","TA ↗")</x:f>
        <x:v>TA ↗</x:v>
      </x:c>
      <x:c r="J77" s="43" t="n">
        <x:v>-8.7018339</x:v>
      </x:c>
      <x:c r="K77" s="43" t="n">
        <x:v>115.1751742</x:v>
      </x:c>
      <x:c r="L77" s="4" t="str">
        <x:v>Точка/центр объекта по OpenStreetMap</x:v>
      </x:c>
      <x:c r="M77" s="8" t="str">
        <x:f>HYPERLINK("https://www.openstreetmap.org/node/5676966224","Координаты ↗")</x:f>
        <x:v>Координаты ↗</x:v>
      </x:c>
      <x:c r="N77" s="4" t="str">
        <x:v>29.09.2026</x:v>
      </x:c>
      <x:c r="O77" s="4" t="str">
        <x:v>50+ отзывов</x:v>
      </x:c>
      <x:c r="P77" s="8" t="str">
        <x:f>HYPERLINK("https://dynamic-media-cdn.tripadvisor.com/media/photo-o/21/de/0a/cd/20220106-130314-largejpg.jpg?h=500&amp;s=1&amp;w=900","Tripadvisor / фото ↗")</x:f>
        <x:v>Tripadvisor / фото ↗</x:v>
      </x:c>
      <x:c r="Q77" s="8" t="str">
        <x:f>HYPERLINK("#'Места'!A75","В список →")</x:f>
        <x:v>В список →</x:v>
      </x:c>
    </x:row>
    <x:row r="78" ht="108.75" customHeight="1">
      <x:c r="A78" s="35" t="n">
        <x:v>72</x:v>
      </x:c>
      <x:c r="B78" s="17" t="str">
        <x:v>BAKED. Berawa</x:v>
      </x:c>
      <x:c r="C78" s="16" t="str">
        <x:v>Утро</x:v>
      </x:c>
      <x:c r="D78" s="16" t="str">
        <x:v>У сети несколько точек; выбран Berawa. В выходные возможна очередь.</x:v>
      </x:c>
      <x:c r="E78" s="16" t="str">
        <x:v>Fahima f · 07.2026: понравились напитки и сотрудники, но кондиционер не работал.</x:v>
      </x:c>
      <x:c r="F78" s="16" t="str">
        <x:v>THRILLY · 03.2026: хороший кофе и миндальный круассан; тортилья отличалась по качеству между визитами.</x:v>
      </x:c>
      <x:c r="G78" s="18" t="str">
        <x:f>HYPERLINK("https://www.tripadvisor.com/Restaurant_Review-g10086747-d20118812-Reviews-BAKED_Bali-Tibubeneng_North_Kuta_Badung_Regency_Bali.html","Читать ↗")</x:f>
        <x:v>Читать ↗</x:v>
      </x:c>
      <x:c r="H78" s="18" t="str">
        <x:f>HYPERLINK("https://www.tripadvisor.com/Restaurant_Review-g10086747-d20118812-Reviews-BAKED_Bali-Tibubeneng_North_Kuta_Badung_Regency_Bali.html","Читать ↗")</x:f>
        <x:v>Читать ↗</x:v>
      </x:c>
      <x:c r="I78" s="18" t="str">
        <x:f>HYPERLINK("https://www.tripadvisor.com/Restaurant_Review-g10086747-d20118812-Reviews-BAKED_Bali-Tibubeneng_North_Kuta_Badung_Regency_Bali.html","TA ↗")</x:f>
        <x:v>TA ↗</x:v>
      </x:c>
      <x:c r="J78" s="44" t="n">
        <x:v>-8.658309</x:v>
      </x:c>
      <x:c r="K78" s="44" t="n">
        <x:v>115.140314</x:v>
      </x:c>
      <x:c r="L78" s="16" t="str">
        <x:v>Филиал Berawa</x:v>
      </x:c>
      <x:c r="M78" s="18" t="str">
        <x:f>HYPERLINK("https://burayagidelim.com/en/place/bali/baked-berawa","Координаты ↗")</x:f>
        <x:v>Координаты ↗</x:v>
      </x:c>
      <x:c r="N78" s="16" t="str">
        <x:v>29.09.2026</x:v>
      </x:c>
      <x:c r="O78" s="16" t="str">
        <x:v>Малая: &lt;50</x:v>
      </x:c>
      <x:c r="P78" s="18" t="str">
        <x:f>HYPERLINK("https://dynamic-media-cdn.tripadvisor.com/media/photo-o/1a/e3/23/84/getlstd-property-photo.jpg?h=500&amp;s=1&amp;w=900","Tripadvisor / фото ↗")</x:f>
        <x:v>Tripadvisor / фото ↗</x:v>
      </x:c>
      <x:c r="Q78" s="18" t="str">
        <x:f>HYPERLINK("#'Места'!A78","В список →")</x:f>
        <x:v>В список →</x:v>
      </x:c>
    </x:row>
    <x:row r="79" ht="108.75" customHeight="1">
      <x:c r="A79" s="35" t="n">
        <x:v>73</x:v>
      </x:c>
      <x:c r="B79" s="7" t="str">
        <x:v>Pison Ubud</x:v>
      </x:c>
      <x:c r="C79" s="4" t="str">
        <x:v>Завтрак или обед</x:v>
      </x:c>
      <x:c r="D79" s="4" t="str">
        <x:v>Выбран Убуд; отзывы о других филиалах исключены. Вегетарианские позиции уточнить.</x:v>
      </x:c>
      <x:c r="E79" s="4" t="str">
        <x:v>Bianca · 12.2025: ели дважды; понравились порции, скорость и рис с уткой.</x:v>
      </x:c>
      <x:c r="F79" s="4" t="str">
        <x:v>Aurely R · 06.2026: не нашла подходящих вегетарианских основных блюд; рекомендует вегетарианцам другой ресторан.</x:v>
      </x:c>
      <x:c r="G79" s="8" t="str">
        <x:f>HYPERLINK("https://www.tripadvisor.com/Restaurant_Review-g297701-d19056652-Reviews-Pison_Ubud-Ubud_Gianyar_Regency_Bali.html","Читать ↗")</x:f>
        <x:v>Читать ↗</x:v>
      </x:c>
      <x:c r="H79" s="8" t="str">
        <x:f>HYPERLINK("https://www.tripadvisor.com/Restaurant_Review-g297701-d19056652-Reviews-Pison_Ubud-Ubud_Gianyar_Regency_Bali.html","Читать ↗")</x:f>
        <x:v>Читать ↗</x:v>
      </x:c>
      <x:c r="I79" s="8" t="str">
        <x:f>HYPERLINK("https://www.tripadvisor.com/Restaurant_Review-g297701-d19056652-Reviews-Pison_Ubud-Ubud_Gianyar_Regency_Bali.html","TA ↗")</x:f>
        <x:v>TA ↗</x:v>
      </x:c>
      <x:c r="J79" s="43" t="n">
        <x:v>-8.5182937</x:v>
      </x:c>
      <x:c r="K79" s="43" t="n">
        <x:v>115.2635556</x:v>
      </x:c>
      <x:c r="L79" s="4" t="str">
        <x:v>Точка/центр объекта по OpenStreetMap</x:v>
      </x:c>
      <x:c r="M79" s="8" t="str">
        <x:f>HYPERLINK("https://www.openstreetmap.org/node/7037694585","Координаты ↗")</x:f>
        <x:v>Координаты ↗</x:v>
      </x:c>
      <x:c r="N79" s="4" t="str">
        <x:v>29.09.2026</x:v>
      </x:c>
      <x:c r="O79" s="4" t="str">
        <x:v>50+ отзывов</x:v>
      </x:c>
      <x:c r="P79" s="8" t="str">
        <x:f>HYPERLINK("https://dynamic-media-cdn.tripadvisor.com/media/photo-o/19/b9/f6/a4/creamy-chicken-croissant.jpg?h=500&amp;s=1&amp;w=900","Tripadvisor / фото ↗")</x:f>
        <x:v>Tripadvisor / фото ↗</x:v>
      </x:c>
      <x:c r="Q79" s="8" t="str">
        <x:f>HYPERLINK("#'Места'!A66","В список →")</x:f>
        <x:v>В список →</x:v>
      </x:c>
    </x:row>
    <x:row r="80" ht="18.75" customHeight="1">
      <x:c r="A80" s="4"/>
      <x:c r="B80" s="4"/>
      <x:c r="C80" s="4"/>
      <x:c r="D80" s="4"/>
      <x:c r="E80" s="4"/>
      <x:c r="F80" s="4"/>
      <x:c r="G80" s="4"/>
      <x:c r="H80" s="4"/>
      <x:c r="I80" s="4"/>
      <x:c r="J80" s="4"/>
      <x:c r="K80" s="4"/>
      <x:c r="L80" s="4"/>
      <x:c r="M80" s="4"/>
      <x:c r="N80" s="4"/>
      <x:c r="O80" s="4"/>
      <x:c r="P80" s="4"/>
      <x:c r="Q80" s="4"/>
    </x:row>
  </x:sheetData>
  <x:mergeCells>
    <x:mergeCell ref="A1:F2"/>
    <x:mergeCell ref="A3:Q4"/>
  </x:mergeCells>
  <x:pageMargins left="0.7" right="0.7" top="0.75" bottom="0.75" header="0.3" footer="0.3"/>
  <x:tableParts count="1">
    <x:tablePart xmlns:r="http://schemas.openxmlformats.org/officeDocument/2006/relationships" r:id="R0b6eb10c7f764a51"/>
  </x:tableParts>
</x:worksheet>
</file>

<file path=xl/worksheets/sheet4.xml><?xml version="1.0" encoding="utf-8"?>
<x:worksheet xmlns:x="http://schemas.openxmlformats.org/spreadsheetml/2006/main">
  <x:sheetPr>
    <x:tabColor rgb="FF24665C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9.4399995803833" hidden="0" customWidth="1"/>
    <x:col min="2" max="2" width="9.4399995803833" hidden="0" customWidth="1"/>
    <x:col min="3" max="3" width="9.4399995803833" hidden="0" customWidth="1"/>
    <x:col min="4" max="4" width="9.4399995803833" hidden="0" customWidth="1"/>
    <x:col min="5" max="5" width="2.440000057220459" hidden="0" customWidth="1"/>
    <x:col min="6" max="6" width="9.4399995803833" hidden="0" customWidth="1"/>
    <x:col min="7" max="7" width="9.4399995803833" hidden="0" customWidth="1"/>
    <x:col min="8" max="8" width="9.4399995803833" hidden="0" customWidth="1"/>
    <x:col min="9" max="9" width="9.4399995803833" hidden="0" customWidth="1"/>
    <x:col min="10" max="10" width="2.440000057220459" hidden="0" customWidth="1"/>
    <x:col min="11" max="11" width="9.4399995803833" hidden="0" customWidth="1"/>
    <x:col min="12" max="12" width="9.4399995803833" hidden="0" customWidth="1"/>
    <x:col min="13" max="13" width="9.4399995803833" hidden="0" customWidth="1"/>
    <x:col min="14" max="14" width="9.4399995803833" hidden="0" customWidth="1"/>
  </x:cols>
  <x:sheetData>
    <x:row r="1" ht="18" customHeight="1">
      <x:c r="A1" s="45" t="str">
        <x:v>ФОТОКАТАЛОГ  /  01—73</x:v>
      </x:c>
      <x:c r="B1" s="45" t="str">
        <x:v>ФОТОКАТАЛОГ  /  01—73</x:v>
      </x:c>
      <x:c r="C1" s="45" t="str">
        <x:v>ФОТОКАТАЛОГ  /  01—73</x:v>
      </x:c>
      <x:c r="D1" s="45" t="str">
        <x:v>ФОТОКАТАЛОГ  /  01—73</x:v>
      </x:c>
      <x:c r="E1" s="45" t="str">
        <x:v>ФОТОКАТАЛОГ  /  01—73</x:v>
      </x:c>
      <x:c r="F1" s="45" t="str">
        <x:v>ФОТОКАТАЛОГ  /  01—73</x:v>
      </x:c>
      <x:c r="G1" s="45" t="str">
        <x:v>ФОТОКАТАЛОГ  /  01—73</x:v>
      </x:c>
      <x:c r="H1" s="45" t="str">
        <x:v>ФОТОКАТАЛОГ  /  01—73</x:v>
      </x:c>
      <x:c r="I1" s="45" t="str">
        <x:v>ФОТОКАТАЛОГ  /  01—73</x:v>
      </x:c>
      <x:c r="J1" s="45" t="str">
        <x:v>ФОТОКАТАЛОГ  /  01—73</x:v>
      </x:c>
      <x:c r="K1" s="45" t="str">
        <x:v>ФОТОКАТАЛОГ  /  01—73</x:v>
      </x:c>
      <x:c r="L1" s="45" t="str">
        <x:v>ФОТОКАТАЛОГ  /  01—73</x:v>
      </x:c>
      <x:c r="M1" s="45" t="str">
        <x:v>ФОТОКАТАЛОГ  /  01—73</x:v>
      </x:c>
      <x:c r="N1" s="45" t="str">
        <x:v>ФОТОКАТАЛОГ  /  01—73</x:v>
      </x:c>
    </x:row>
    <x:row r="2" ht="18" customHeight="1">
      <x:c r="A2" s="45" t="str">
        <x:v>ФОТОКАТАЛОГ  /  01—73</x:v>
      </x:c>
      <x:c r="B2" s="45" t="str">
        <x:v>ФОТОКАТАЛОГ  /  01—73</x:v>
      </x:c>
      <x:c r="C2" s="45" t="str">
        <x:v>ФОТОКАТАЛОГ  /  01—73</x:v>
      </x:c>
      <x:c r="D2" s="45" t="str">
        <x:v>ФОТОКАТАЛОГ  /  01—73</x:v>
      </x:c>
      <x:c r="E2" s="45" t="str">
        <x:v>ФОТОКАТАЛОГ  /  01—73</x:v>
      </x:c>
      <x:c r="F2" s="45" t="str">
        <x:v>ФОТОКАТАЛОГ  /  01—73</x:v>
      </x:c>
      <x:c r="G2" s="45" t="str">
        <x:v>ФОТОКАТАЛОГ  /  01—73</x:v>
      </x:c>
      <x:c r="H2" s="45" t="str">
        <x:v>ФОТОКАТАЛОГ  /  01—73</x:v>
      </x:c>
      <x:c r="I2" s="45" t="str">
        <x:v>ФОТОКАТАЛОГ  /  01—73</x:v>
      </x:c>
      <x:c r="J2" s="45" t="str">
        <x:v>ФОТОКАТАЛОГ  /  01—73</x:v>
      </x:c>
      <x:c r="K2" s="45" t="str">
        <x:v>ФОТОКАТАЛОГ  /  01—73</x:v>
      </x:c>
      <x:c r="L2" s="45" t="str">
        <x:v>ФОТОКАТАЛОГ  /  01—73</x:v>
      </x:c>
      <x:c r="M2" s="45" t="str">
        <x:v>ФОТОКАТАЛОГ  /  01—73</x:v>
      </x:c>
      <x:c r="N2" s="45" t="str">
        <x:v>ФОТОКАТАЛОГ  /  01—73</x:v>
      </x:c>
    </x:row>
    <x:row r="3" ht="18" customHeight="1">
      <x:c r="A3" s="13" t="str">
        <x:v>Одна настоящая фотография каждого места. Архивные снимки иллюстрируют место, но не гарантируют его сегодняшнее состояние. ID совпадает с картой; источник у каждой карточки.</x:v>
      </x:c>
      <x:c r="B3" s="13" t="str">
        <x:v>Одна настоящая фотография каждого места. Архивные снимки иллюстрируют место, но не гарантируют его сегодняшнее состояние. ID совпадает с картой; источник у каждой карточки.</x:v>
      </x:c>
      <x:c r="C3" s="13" t="str">
        <x:v>Одна настоящая фотография каждого места. Архивные снимки иллюстрируют место, но не гарантируют его сегодняшнее состояние. ID совпадает с картой; источник у каждой карточки.</x:v>
      </x:c>
      <x:c r="D3" s="13" t="str">
        <x:v>Одна настоящая фотография каждого места. Архивные снимки иллюстрируют место, но не гарантируют его сегодняшнее состояние. ID совпадает с картой; источник у каждой карточки.</x:v>
      </x:c>
      <x:c r="E3" s="13" t="str">
        <x:v>Одна настоящая фотография каждого места. Архивные снимки иллюстрируют место, но не гарантируют его сегодняшнее состояние. ID совпадает с картой; источник у каждой карточки.</x:v>
      </x:c>
      <x:c r="F3" s="13" t="str">
        <x:v>Одна настоящая фотография каждого места. Архивные снимки иллюстрируют место, но не гарантируют его сегодняшнее состояние. ID совпадает с картой; источник у каждой карточки.</x:v>
      </x:c>
      <x:c r="G3" s="13" t="str">
        <x:v>Одна настоящая фотография каждого места. Архивные снимки иллюстрируют место, но не гарантируют его сегодняшнее состояние. ID совпадает с картой; источник у каждой карточки.</x:v>
      </x:c>
      <x:c r="H3" s="13" t="str">
        <x:v>Одна настоящая фотография каждого места. Архивные снимки иллюстрируют место, но не гарантируют его сегодняшнее состояние. ID совпадает с картой; источник у каждой карточки.</x:v>
      </x:c>
      <x:c r="I3" s="13" t="str">
        <x:v>Одна настоящая фотография каждого места. Архивные снимки иллюстрируют место, но не гарантируют его сегодняшнее состояние. ID совпадает с картой; источник у каждой карточки.</x:v>
      </x:c>
      <x:c r="J3" s="13" t="str">
        <x:v>Одна настоящая фотография каждого места. Архивные снимки иллюстрируют место, но не гарантируют его сегодняшнее состояние. ID совпадает с картой; источник у каждой карточки.</x:v>
      </x:c>
      <x:c r="K3" s="13" t="str">
        <x:v>Одна настоящая фотография каждого места. Архивные снимки иллюстрируют место, но не гарантируют его сегодняшнее состояние. ID совпадает с картой; источник у каждой карточки.</x:v>
      </x:c>
      <x:c r="L3" s="13" t="str">
        <x:v>Одна настоящая фотография каждого места. Архивные снимки иллюстрируют место, но не гарантируют его сегодняшнее состояние. ID совпадает с картой; источник у каждой карточки.</x:v>
      </x:c>
      <x:c r="M3" s="13" t="str">
        <x:v>Одна настоящая фотография каждого места. Архивные снимки иллюстрируют место, но не гарантируют его сегодняшнее состояние. ID совпадает с картой; источник у каждой карточки.</x:v>
      </x:c>
      <x:c r="N3" s="13" t="str">
        <x:v>Одна настоящая фотография каждого места. Архивные снимки иллюстрируют место, но не гарантируют его сегодняшнее состояние. ID совпадает с картой; источник у каждой карточки.</x:v>
      </x:c>
    </x:row>
    <x:row r="4" ht="18" customHeight="1">
      <x:c r="A4" s="13" t="str">
        <x:v>Одна настоящая фотография каждого места. Архивные снимки иллюстрируют место, но не гарантируют его сегодняшнее состояние. ID совпадает с картой; источник у каждой карточки.</x:v>
      </x:c>
      <x:c r="B4" s="13" t="str">
        <x:v>Одна настоящая фотография каждого места. Архивные снимки иллюстрируют место, но не гарантируют его сегодняшнее состояние. ID совпадает с картой; источник у каждой карточки.</x:v>
      </x:c>
      <x:c r="C4" s="13" t="str">
        <x:v>Одна настоящая фотография каждого места. Архивные снимки иллюстрируют место, но не гарантируют его сегодняшнее состояние. ID совпадает с картой; источник у каждой карточки.</x:v>
      </x:c>
      <x:c r="D4" s="13" t="str">
        <x:v>Одна настоящая фотография каждого места. Архивные снимки иллюстрируют место, но не гарантируют его сегодняшнее состояние. ID совпадает с картой; источник у каждой карточки.</x:v>
      </x:c>
      <x:c r="E4" s="13" t="str">
        <x:v>Одна настоящая фотография каждого места. Архивные снимки иллюстрируют место, но не гарантируют его сегодняшнее состояние. ID совпадает с картой; источник у каждой карточки.</x:v>
      </x:c>
      <x:c r="F4" s="13" t="str">
        <x:v>Одна настоящая фотография каждого места. Архивные снимки иллюстрируют место, но не гарантируют его сегодняшнее состояние. ID совпадает с картой; источник у каждой карточки.</x:v>
      </x:c>
      <x:c r="G4" s="13" t="str">
        <x:v>Одна настоящая фотография каждого места. Архивные снимки иллюстрируют место, но не гарантируют его сегодняшнее состояние. ID совпадает с картой; источник у каждой карточки.</x:v>
      </x:c>
      <x:c r="H4" s="13" t="str">
        <x:v>Одна настоящая фотография каждого места. Архивные снимки иллюстрируют место, но не гарантируют его сегодняшнее состояние. ID совпадает с картой; источник у каждой карточки.</x:v>
      </x:c>
      <x:c r="I4" s="13" t="str">
        <x:v>Одна настоящая фотография каждого места. Архивные снимки иллюстрируют место, но не гарантируют его сегодняшнее состояние. ID совпадает с картой; источник у каждой карточки.</x:v>
      </x:c>
      <x:c r="J4" s="13" t="str">
        <x:v>Одна настоящая фотография каждого места. Архивные снимки иллюстрируют место, но не гарантируют его сегодняшнее состояние. ID совпадает с картой; источник у каждой карточки.</x:v>
      </x:c>
      <x:c r="K4" s="13" t="str">
        <x:v>Одна настоящая фотография каждого места. Архивные снимки иллюстрируют место, но не гарантируют его сегодняшнее состояние. ID совпадает с картой; источник у каждой карточки.</x:v>
      </x:c>
      <x:c r="L4" s="13" t="str">
        <x:v>Одна настоящая фотография каждого места. Архивные снимки иллюстрируют место, но не гарантируют его сегодняшнее состояние. ID совпадает с картой; источник у каждой карточки.</x:v>
      </x:c>
      <x:c r="M4" s="13" t="str">
        <x:v>Одна настоящая фотография каждого места. Архивные снимки иллюстрируют место, но не гарантируют его сегодняшнее состояние. ID совпадает с картой; источник у каждой карточки.</x:v>
      </x:c>
      <x:c r="N4" s="13" t="str">
        <x:v>Одна настоящая фотография каждого места. Архивные снимки иллюстрируют место, но не гарантируют его сегодняшнее состояние. ID совпадает с картой; источник у каждой карточки.</x:v>
      </x:c>
    </x:row>
    <x:row r="5" ht="18" customHeight="1">
      <x:c r="A5" s="4"/>
      <x:c r="B5" s="4"/>
      <x:c r="C5" s="4"/>
      <x:c r="D5" s="4"/>
      <x:c r="E5" s="4"/>
      <x:c r="F5" s="4"/>
      <x:c r="G5" s="4"/>
      <x:c r="H5" s="4"/>
      <x:c r="I5" s="4"/>
      <x:c r="J5" s="4"/>
      <x:c r="K5" s="4"/>
      <x:c r="L5" s="4"/>
      <x:c r="M5" s="4"/>
      <x:c r="N5" s="4"/>
    </x:row>
    <x:row r="6" ht="18" customHeight="1">
      <x:c r="A6" s="4"/>
      <x:c r="B6" s="4"/>
      <x:c r="C6" s="4"/>
      <x:c r="D6" s="4"/>
      <x:c r="E6" s="4"/>
      <x:c r="F6" s="4"/>
      <x:c r="G6" s="4"/>
      <x:c r="H6" s="4"/>
      <x:c r="I6" s="4"/>
      <x:c r="J6" s="4"/>
      <x:c r="K6" s="4"/>
      <x:c r="L6" s="4"/>
      <x:c r="M6" s="4"/>
      <x:c r="N6" s="4"/>
    </x:row>
    <x:row r="7" ht="18" customHeight="1">
      <x:c r="A7" s="46" t="str">
        <x:v>01  Sekumpul Waterfall</x:v>
      </x:c>
      <x:c r="B7" s="46" t="str">
        <x:v>01  Sekumpul Waterfall</x:v>
      </x:c>
      <x:c r="C7" s="46" t="str">
        <x:v>01  Sekumpul Waterfall</x:v>
      </x:c>
      <x:c r="D7" s="46" t="str">
        <x:v>01  Sekumpul Waterfall</x:v>
      </x:c>
      <x:c r="E7" s="4"/>
      <x:c r="F7" s="46" t="str">
        <x:v>02  Tegenungan Waterfall</x:v>
      </x:c>
      <x:c r="G7" s="46" t="str">
        <x:v>02  Tegenungan Waterfall</x:v>
      </x:c>
      <x:c r="H7" s="46" t="str">
        <x:v>02  Tegenungan Waterfall</x:v>
      </x:c>
      <x:c r="I7" s="46" t="str">
        <x:v>02  Tegenungan Waterfall</x:v>
      </x:c>
      <x:c r="J7" s="4"/>
      <x:c r="K7" s="46" t="str">
        <x:v>03  Tibumana Waterfall</x:v>
      </x:c>
      <x:c r="L7" s="46" t="str">
        <x:v>03  Tibumana Waterfall</x:v>
      </x:c>
      <x:c r="M7" s="46" t="str">
        <x:v>03  Tibumana Waterfall</x:v>
      </x:c>
      <x:c r="N7" s="46" t="str">
        <x:v>03  Tibumana Waterfall</x:v>
      </x:c>
    </x:row>
    <x:row r="8" ht="18" customHeight="1">
      <x:c r="A8" s="46" t="str">
        <x:v>01  Sekumpul Waterfall</x:v>
      </x:c>
      <x:c r="B8" s="46" t="str">
        <x:v>01  Sekumpul Waterfall</x:v>
      </x:c>
      <x:c r="C8" s="46" t="str">
        <x:v>01  Sekumpul Waterfall</x:v>
      </x:c>
      <x:c r="D8" s="46" t="str">
        <x:v>01  Sekumpul Waterfall</x:v>
      </x:c>
      <x:c r="E8" s="4"/>
      <x:c r="F8" s="46" t="str">
        <x:v>02  Tegenungan Waterfall</x:v>
      </x:c>
      <x:c r="G8" s="46" t="str">
        <x:v>02  Tegenungan Waterfall</x:v>
      </x:c>
      <x:c r="H8" s="46" t="str">
        <x:v>02  Tegenungan Waterfall</x:v>
      </x:c>
      <x:c r="I8" s="46" t="str">
        <x:v>02  Tegenungan Waterfall</x:v>
      </x:c>
      <x:c r="J8" s="4"/>
      <x:c r="K8" s="46" t="str">
        <x:v>03  Tibumana Waterfall</x:v>
      </x:c>
      <x:c r="L8" s="46" t="str">
        <x:v>03  Tibumana Waterfall</x:v>
      </x:c>
      <x:c r="M8" s="46" t="str">
        <x:v>03  Tibumana Waterfall</x:v>
      </x:c>
      <x:c r="N8" s="46" t="str">
        <x:v>03  Tibumana Waterfall</x:v>
      </x:c>
    </x:row>
    <x:row r="9" ht="18" customHeight="1">
      <x:c r="A9" s="4"/>
      <x:c r="B9" s="4"/>
      <x:c r="C9" s="4"/>
      <x:c r="D9" s="4"/>
      <x:c r="E9" s="4"/>
      <x:c r="F9" s="4"/>
      <x:c r="G9" s="4"/>
      <x:c r="H9" s="4"/>
      <x:c r="I9" s="4"/>
      <x:c r="J9" s="4"/>
      <x:c r="K9" s="4"/>
      <x:c r="L9" s="4"/>
      <x:c r="M9" s="4"/>
      <x:c r="N9" s="4"/>
    </x:row>
    <x:row r="10" ht="18" customHeight="1">
      <x:c r="A10" s="4"/>
      <x:c r="B10" s="4"/>
      <x:c r="C10" s="4"/>
      <x:c r="D10" s="4"/>
      <x:c r="E10" s="4"/>
      <x:c r="F10" s="4"/>
      <x:c r="G10" s="4"/>
      <x:c r="H10" s="4"/>
      <x:c r="I10" s="4"/>
      <x:c r="J10" s="4"/>
      <x:c r="K10" s="4"/>
      <x:c r="L10" s="4"/>
      <x:c r="M10" s="4"/>
      <x:c r="N10" s="4"/>
    </x:row>
    <x:row r="11" ht="18" customHeight="1">
      <x:c r="A11" s="4"/>
      <x:c r="B11" s="4"/>
      <x:c r="C11" s="4"/>
      <x:c r="D11" s="4"/>
      <x:c r="E11" s="4"/>
      <x:c r="F11" s="4"/>
      <x:c r="G11" s="4"/>
      <x:c r="H11" s="4"/>
      <x:c r="I11" s="4"/>
      <x:c r="J11" s="4"/>
      <x:c r="K11" s="4"/>
      <x:c r="L11" s="4"/>
      <x:c r="M11" s="4"/>
      <x:c r="N11" s="4"/>
    </x:row>
    <x:row r="12" ht="18" customHeight="1">
      <x:c r="A12" s="4"/>
      <x:c r="B12" s="4"/>
      <x:c r="C12" s="4"/>
      <x:c r="D12" s="4"/>
      <x:c r="E12" s="4"/>
      <x:c r="F12" s="4"/>
      <x:c r="G12" s="4"/>
      <x:c r="H12" s="4"/>
      <x:c r="I12" s="4"/>
      <x:c r="J12" s="4"/>
      <x:c r="K12" s="4"/>
      <x:c r="L12" s="4"/>
      <x:c r="M12" s="4"/>
      <x:c r="N12" s="4"/>
    </x:row>
    <x:row r="13" ht="18" customHeight="1">
      <x:c r="A13" s="4"/>
      <x:c r="B13" s="4"/>
      <x:c r="C13" s="4"/>
      <x:c r="D13" s="4"/>
      <x:c r="E13" s="4"/>
      <x:c r="F13" s="4"/>
      <x:c r="G13" s="4"/>
      <x:c r="H13" s="4"/>
      <x:c r="I13" s="4"/>
      <x:c r="J13" s="4"/>
      <x:c r="K13" s="4"/>
      <x:c r="L13" s="4"/>
      <x:c r="M13" s="4"/>
      <x:c r="N13" s="4"/>
    </x:row>
    <x:row r="14" ht="18" customHeight="1">
      <x:c r="A14" s="4"/>
      <x:c r="B14" s="4"/>
      <x:c r="C14" s="4"/>
      <x:c r="D14" s="4"/>
      <x:c r="E14" s="4"/>
      <x:c r="F14" s="4"/>
      <x:c r="G14" s="4"/>
      <x:c r="H14" s="4"/>
      <x:c r="I14" s="4"/>
      <x:c r="J14" s="4"/>
      <x:c r="K14" s="4"/>
      <x:c r="L14" s="4"/>
      <x:c r="M14" s="4"/>
      <x:c r="N14" s="4"/>
    </x:row>
    <x:row r="15" ht="18" customHeight="1">
      <x:c r="A15" s="4"/>
      <x:c r="B15" s="4"/>
      <x:c r="C15" s="4"/>
      <x:c r="D15" s="4"/>
      <x:c r="E15" s="4"/>
      <x:c r="F15" s="4"/>
      <x:c r="G15" s="4"/>
      <x:c r="H15" s="4"/>
      <x:c r="I15" s="4"/>
      <x:c r="J15" s="4"/>
      <x:c r="K15" s="4"/>
      <x:c r="L15" s="4"/>
      <x:c r="M15" s="4"/>
      <x:c r="N15" s="4"/>
    </x:row>
    <x:row r="16" ht="18" customHeight="1">
      <x:c r="A16" s="4"/>
      <x:c r="B16" s="4"/>
      <x:c r="C16" s="4"/>
      <x:c r="D16" s="4"/>
      <x:c r="E16" s="4"/>
      <x:c r="F16" s="4"/>
      <x:c r="G16" s="4"/>
      <x:c r="H16" s="4"/>
      <x:c r="I16" s="4"/>
      <x:c r="J16" s="4"/>
      <x:c r="K16" s="4"/>
      <x:c r="L16" s="4"/>
      <x:c r="M16" s="4"/>
      <x:c r="N16" s="4"/>
    </x:row>
    <x:row r="17" ht="18" customHeight="1">
      <x:c r="A17" s="47" t="str">
        <x:v>Мощные каскады среди джунглей; один из главных пейзажей севера.</x:v>
      </x:c>
      <x:c r="B17" s="47" t="str">
        <x:v>Мощные каскады среди джунглей; один из главных пейзажей севера.</x:v>
      </x:c>
      <x:c r="C17" s="47" t="str">
        <x:v>Мощные каскады среди джунглей; один из главных пейзажей севера.</x:v>
      </x:c>
      <x:c r="D17" s="47" t="str">
        <x:v>Мощные каскады среди джунглей; один из главных пейзажей севера.</x:v>
      </x:c>
      <x:c r="E17" s="4"/>
      <x:c r="F17" s="47" t="str">
        <x:v>Большой водопад недалеко от Убуда с развитой инфраструктурой.</x:v>
      </x:c>
      <x:c r="G17" s="47" t="str">
        <x:v>Большой водопад недалеко от Убуда с развитой инфраструктурой.</x:v>
      </x:c>
      <x:c r="H17" s="47" t="str">
        <x:v>Большой водопад недалеко от Убуда с развитой инфраструктурой.</x:v>
      </x:c>
      <x:c r="I17" s="47" t="str">
        <x:v>Большой водопад недалеко от Убуда с развитой инфраструктурой.</x:v>
      </x:c>
      <x:c r="J17" s="4"/>
      <x:c r="K17" s="47" t="str">
        <x:v>Ровный поток в зелёной чаше; приятный вариант для первого водопада.</x:v>
      </x:c>
      <x:c r="L17" s="47" t="str">
        <x:v>Ровный поток в зелёной чаше; приятный вариант для первого водопада.</x:v>
      </x:c>
      <x:c r="M17" s="47" t="str">
        <x:v>Ровный поток в зелёной чаше; приятный вариант для первого водопада.</x:v>
      </x:c>
      <x:c r="N17" s="47" t="str">
        <x:v>Ровный поток в зелёной чаше; приятный вариант для первого водопада.</x:v>
      </x:c>
    </x:row>
    <x:row r="18" ht="18" customHeight="1">
      <x:c r="A18" s="47" t="str">
        <x:v>Мощные каскады среди джунглей; один из главных пейзажей севера.</x:v>
      </x:c>
      <x:c r="B18" s="47" t="str">
        <x:v>Мощные каскады среди джунглей; один из главных пейзажей севера.</x:v>
      </x:c>
      <x:c r="C18" s="47" t="str">
        <x:v>Мощные каскады среди джунглей; один из главных пейзажей севера.</x:v>
      </x:c>
      <x:c r="D18" s="47" t="str">
        <x:v>Мощные каскады среди джунглей; один из главных пейзажей севера.</x:v>
      </x:c>
      <x:c r="E18" s="4"/>
      <x:c r="F18" s="47" t="str">
        <x:v>Большой водопад недалеко от Убуда с развитой инфраструктурой.</x:v>
      </x:c>
      <x:c r="G18" s="47" t="str">
        <x:v>Большой водопад недалеко от Убуда с развитой инфраструктурой.</x:v>
      </x:c>
      <x:c r="H18" s="47" t="str">
        <x:v>Большой водопад недалеко от Убуда с развитой инфраструктурой.</x:v>
      </x:c>
      <x:c r="I18" s="47" t="str">
        <x:v>Большой водопад недалеко от Убуда с развитой инфраструктурой.</x:v>
      </x:c>
      <x:c r="J18" s="4"/>
      <x:c r="K18" s="47" t="str">
        <x:v>Ровный поток в зелёной чаше; приятный вариант для первого водопада.</x:v>
      </x:c>
      <x:c r="L18" s="47" t="str">
        <x:v>Ровный поток в зелёной чаше; приятный вариант для первого водопада.</x:v>
      </x:c>
      <x:c r="M18" s="47" t="str">
        <x:v>Ровный поток в зелёной чаше; приятный вариант для первого водопада.</x:v>
      </x:c>
      <x:c r="N18" s="47" t="str">
        <x:v>Ровный поток в зелёной чаше; приятный вариант для первого водопада.</x:v>
      </x:c>
    </x:row>
    <x:row r="19" ht="18" customHeight="1">
      <x:c r="A19" s="48" t="str">
        <x:v>Север  •  TA 4.6 / 5  •  Известное</x:v>
      </x:c>
      <x:c r="B19" s="48" t="str">
        <x:v>Север  •  TA 4.6 / 5  •  Известное</x:v>
      </x:c>
      <x:c r="C19" s="48" t="str">
        <x:v>Север  •  TA 4.6 / 5  •  Известное</x:v>
      </x:c>
      <x:c r="D19" s="48" t="str">
        <x:v>Север  •  TA 4.6 / 5  •  Известное</x:v>
      </x:c>
      <x:c r="E19" s="4"/>
      <x:c r="F19" s="48" t="str">
        <x:v>Убуд  •  TA 3.9 / 5  •  Известное</x:v>
      </x:c>
      <x:c r="G19" s="48" t="str">
        <x:v>Убуд  •  TA 3.9 / 5  •  Известное</x:v>
      </x:c>
      <x:c r="H19" s="48" t="str">
        <x:v>Убуд  •  TA 3.9 / 5  •  Известное</x:v>
      </x:c>
      <x:c r="I19" s="48" t="str">
        <x:v>Убуд  •  TA 3.9 / 5  •  Известное</x:v>
      </x:c>
      <x:c r="J19" s="4"/>
      <x:c r="K19" s="48" t="str">
        <x:v>Убуд  •  TA 4.4 / 5  •  Известное</x:v>
      </x:c>
      <x:c r="L19" s="48" t="str">
        <x:v>Убуд  •  TA 4.4 / 5  •  Известное</x:v>
      </x:c>
      <x:c r="M19" s="48" t="str">
        <x:v>Убуд  •  TA 4.4 / 5  •  Известное</x:v>
      </x:c>
      <x:c r="N19" s="48" t="str">
        <x:v>Убуд  •  TA 4.4 / 5  •  Известное</x:v>
      </x:c>
    </x:row>
    <x:row r="20" ht="18" customHeight="1">
      <x:c r="A20" s="8" t="str">
        <x:f>HYPERLINK("#'Места'!A33","В список →")</x:f>
        <x:v>В список →</x:v>
      </x:c>
      <x:c r="B20" s="4"/>
      <x:c r="C20" s="8" t="str">
        <x:f>HYPERLINK("https://dynamic-media-cdn.tripadvisor.com/media/photo-o/16/c6/82/4a/sekumpul-waterfalls.jpg?h=400&amp;s=1&amp;w=700","Источник ↗")</x:f>
        <x:v>Источник ↗</x:v>
      </x:c>
      <x:c r="D20" s="4"/>
      <x:c r="E20" s="4"/>
      <x:c r="F20" s="8" t="str">
        <x:f>HYPERLINK("#'Места'!A18","В список →")</x:f>
        <x:v>В список →</x:v>
      </x:c>
      <x:c r="G20" s="4"/>
      <x:c r="H20" s="8" t="str">
        <x:f>HYPERLINK("https://dynamic-media-cdn.tripadvisor.com/media/photo-o/1a/02/ae/f7/tegenungan-waterfall.jpg?h=400&amp;s=1&amp;w=700","Источник ↗")</x:f>
        <x:v>Источник ↗</x:v>
      </x:c>
      <x:c r="I20" s="4"/>
      <x:c r="J20" s="4"/>
      <x:c r="K20" s="8" t="str">
        <x:f>HYPERLINK("#'Места'!A68","В список →")</x:f>
        <x:v>В список →</x:v>
      </x:c>
      <x:c r="L20" s="4"/>
      <x:c r="M20" s="8" t="str">
        <x:f>HYPERLINK("https://dynamic-media-cdn.tripadvisor.com/media/photo-o/0e/3d/7a/a9/the-waterfall.jpg?h=-1&amp;s=1&amp;w=700","Источник ↗")</x:f>
        <x:v>Источник ↗</x:v>
      </x:c>
      <x:c r="N20" s="4"/>
    </x:row>
    <x:row r="21" ht="18" customHeight="1">
      <x:c r="A21" s="46" t="str">
        <x:v>04  Tukad Cepung Waterfall</x:v>
      </x:c>
      <x:c r="B21" s="46" t="str">
        <x:v>04  Tukad Cepung Waterfall</x:v>
      </x:c>
      <x:c r="C21" s="46" t="str">
        <x:v>04  Tukad Cepung Waterfall</x:v>
      </x:c>
      <x:c r="D21" s="46" t="str">
        <x:v>04  Tukad Cepung Waterfall</x:v>
      </x:c>
      <x:c r="E21" s="4"/>
      <x:c r="F21" s="46" t="str">
        <x:v>05  Banyumala Twin Waterfalls</x:v>
      </x:c>
      <x:c r="G21" s="46" t="str">
        <x:v>05  Banyumala Twin Waterfalls</x:v>
      </x:c>
      <x:c r="H21" s="46" t="str">
        <x:v>05  Banyumala Twin Waterfalls</x:v>
      </x:c>
      <x:c r="I21" s="46" t="str">
        <x:v>05  Banyumala Twin Waterfalls</x:v>
      </x:c>
      <x:c r="J21" s="4"/>
      <x:c r="K21" s="46" t="str">
        <x:v>06  Nungnung Waterfall</x:v>
      </x:c>
      <x:c r="L21" s="46" t="str">
        <x:v>06  Nungnung Waterfall</x:v>
      </x:c>
      <x:c r="M21" s="46" t="str">
        <x:v>06  Nungnung Waterfall</x:v>
      </x:c>
      <x:c r="N21" s="46" t="str">
        <x:v>06  Nungnung Waterfall</x:v>
      </x:c>
    </x:row>
    <x:row r="22" ht="18" customHeight="1">
      <x:c r="A22" s="46" t="str">
        <x:v>04  Tukad Cepung Waterfall</x:v>
      </x:c>
      <x:c r="B22" s="46" t="str">
        <x:v>04  Tukad Cepung Waterfall</x:v>
      </x:c>
      <x:c r="C22" s="46" t="str">
        <x:v>04  Tukad Cepung Waterfall</x:v>
      </x:c>
      <x:c r="D22" s="46" t="str">
        <x:v>04  Tukad Cepung Waterfall</x:v>
      </x:c>
      <x:c r="E22" s="4"/>
      <x:c r="F22" s="46" t="str">
        <x:v>05  Banyumala Twin Waterfalls</x:v>
      </x:c>
      <x:c r="G22" s="46" t="str">
        <x:v>05  Banyumala Twin Waterfalls</x:v>
      </x:c>
      <x:c r="H22" s="46" t="str">
        <x:v>05  Banyumala Twin Waterfalls</x:v>
      </x:c>
      <x:c r="I22" s="46" t="str">
        <x:v>05  Banyumala Twin Waterfalls</x:v>
      </x:c>
      <x:c r="J22" s="4"/>
      <x:c r="K22" s="46" t="str">
        <x:v>06  Nungnung Waterfall</x:v>
      </x:c>
      <x:c r="L22" s="46" t="str">
        <x:v>06  Nungnung Waterfall</x:v>
      </x:c>
      <x:c r="M22" s="46" t="str">
        <x:v>06  Nungnung Waterfall</x:v>
      </x:c>
      <x:c r="N22" s="46" t="str">
        <x:v>06  Nungnung Waterfall</x:v>
      </x:c>
    </x:row>
    <x:row r="23" ht="18" customHeight="1">
      <x:c r="A23" s="4"/>
      <x:c r="B23" s="4"/>
      <x:c r="C23" s="4"/>
      <x:c r="D23" s="4"/>
      <x:c r="E23" s="4"/>
      <x:c r="F23" s="4"/>
      <x:c r="G23" s="4"/>
      <x:c r="H23" s="4"/>
      <x:c r="I23" s="4"/>
      <x:c r="J23" s="4"/>
      <x:c r="K23" s="4"/>
      <x:c r="L23" s="4"/>
      <x:c r="M23" s="4"/>
      <x:c r="N23" s="4"/>
    </x:row>
    <x:row r="24" ht="18" customHeight="1">
      <x:c r="A24" s="4"/>
      <x:c r="B24" s="4"/>
      <x:c r="C24" s="4"/>
      <x:c r="D24" s="4"/>
      <x:c r="E24" s="4"/>
      <x:c r="F24" s="4"/>
      <x:c r="G24" s="4"/>
      <x:c r="H24" s="4"/>
      <x:c r="I24" s="4"/>
      <x:c r="J24" s="4"/>
      <x:c r="K24" s="4"/>
      <x:c r="L24" s="4"/>
      <x:c r="M24" s="4"/>
      <x:c r="N24" s="4"/>
    </x:row>
    <x:row r="25" ht="18" customHeight="1">
      <x:c r="A25" s="4"/>
      <x:c r="B25" s="4"/>
      <x:c r="C25" s="4"/>
      <x:c r="D25" s="4"/>
      <x:c r="E25" s="4"/>
      <x:c r="F25" s="4"/>
      <x:c r="G25" s="4"/>
      <x:c r="H25" s="4"/>
      <x:c r="I25" s="4"/>
      <x:c r="J25" s="4"/>
      <x:c r="K25" s="4"/>
      <x:c r="L25" s="4"/>
      <x:c r="M25" s="4"/>
      <x:c r="N25" s="4"/>
    </x:row>
    <x:row r="26" ht="18" customHeight="1">
      <x:c r="A26" s="4"/>
      <x:c r="B26" s="4"/>
      <x:c r="C26" s="4"/>
      <x:c r="D26" s="4"/>
      <x:c r="E26" s="4"/>
      <x:c r="F26" s="4"/>
      <x:c r="G26" s="4"/>
      <x:c r="H26" s="4"/>
      <x:c r="I26" s="4"/>
      <x:c r="J26" s="4"/>
      <x:c r="K26" s="4"/>
      <x:c r="L26" s="4"/>
      <x:c r="M26" s="4"/>
      <x:c r="N26" s="4"/>
    </x:row>
    <x:row r="27" ht="18" customHeight="1">
      <x:c r="A27" s="4"/>
      <x:c r="B27" s="4"/>
      <x:c r="C27" s="4"/>
      <x:c r="D27" s="4"/>
      <x:c r="E27" s="4"/>
      <x:c r="F27" s="4"/>
      <x:c r="G27" s="4"/>
      <x:c r="H27" s="4"/>
      <x:c r="I27" s="4"/>
      <x:c r="J27" s="4"/>
      <x:c r="K27" s="4"/>
      <x:c r="L27" s="4"/>
      <x:c r="M27" s="4"/>
      <x:c r="N27" s="4"/>
    </x:row>
    <x:row r="28" ht="18" customHeight="1">
      <x:c r="A28" s="4"/>
      <x:c r="B28" s="4"/>
      <x:c r="C28" s="4"/>
      <x:c r="D28" s="4"/>
      <x:c r="E28" s="4"/>
      <x:c r="F28" s="4"/>
      <x:c r="G28" s="4"/>
      <x:c r="H28" s="4"/>
      <x:c r="I28" s="4"/>
      <x:c r="J28" s="4"/>
      <x:c r="K28" s="4"/>
      <x:c r="L28" s="4"/>
      <x:c r="M28" s="4"/>
      <x:c r="N28" s="4"/>
    </x:row>
    <x:row r="29" ht="18" customHeight="1">
      <x:c r="A29" s="4"/>
      <x:c r="B29" s="4"/>
      <x:c r="C29" s="4"/>
      <x:c r="D29" s="4"/>
      <x:c r="E29" s="4"/>
      <x:c r="F29" s="4"/>
      <x:c r="G29" s="4"/>
      <x:c r="H29" s="4"/>
      <x:c r="I29" s="4"/>
      <x:c r="J29" s="4"/>
      <x:c r="K29" s="4"/>
      <x:c r="L29" s="4"/>
      <x:c r="M29" s="4"/>
      <x:c r="N29" s="4"/>
    </x:row>
    <x:row r="30" ht="18" customHeight="1">
      <x:c r="A30" s="4"/>
      <x:c r="B30" s="4"/>
      <x:c r="C30" s="4"/>
      <x:c r="D30" s="4"/>
      <x:c r="E30" s="4"/>
      <x:c r="F30" s="4"/>
      <x:c r="G30" s="4"/>
      <x:c r="H30" s="4"/>
      <x:c r="I30" s="4"/>
      <x:c r="J30" s="4"/>
      <x:c r="K30" s="4"/>
      <x:c r="L30" s="4"/>
      <x:c r="M30" s="4"/>
      <x:c r="N30" s="4"/>
    </x:row>
    <x:row r="31" ht="18" customHeight="1">
      <x:c r="A31" s="47" t="str">
        <x:v>Водопад внутри скального коридора, лучи света в ущелье.</x:v>
      </x:c>
      <x:c r="B31" s="47" t="str">
        <x:v>Водопад внутри скального коридора, лучи света в ущелье.</x:v>
      </x:c>
      <x:c r="C31" s="47" t="str">
        <x:v>Водопад внутри скального коридора, лучи света в ущелье.</x:v>
      </x:c>
      <x:c r="D31" s="47" t="str">
        <x:v>Водопад внутри скального коридора, лучи света в ущелье.</x:v>
      </x:c>
      <x:c r="E31" s="4"/>
      <x:c r="F31" s="47" t="str">
        <x:v>Широкая стена струй, папоротники и природный бассейн.</x:v>
      </x:c>
      <x:c r="G31" s="47" t="str">
        <x:v>Широкая стена струй, папоротники и природный бассейн.</x:v>
      </x:c>
      <x:c r="H31" s="47" t="str">
        <x:v>Широкая стена струй, папоротники и природный бассейн.</x:v>
      </x:c>
      <x:c r="I31" s="47" t="str">
        <x:v>Широкая стена струй, папоротники и природный бассейн.</x:v>
      </x:c>
      <x:c r="J31" s="4"/>
      <x:c r="K31" s="47" t="str">
        <x:v>Очень мощный водопад в глубоком зелёном ущелье.</x:v>
      </x:c>
      <x:c r="L31" s="47" t="str">
        <x:v>Очень мощный водопад в глубоком зелёном ущелье.</x:v>
      </x:c>
      <x:c r="M31" s="47" t="str">
        <x:v>Очень мощный водопад в глубоком зелёном ущелье.</x:v>
      </x:c>
      <x:c r="N31" s="47" t="str">
        <x:v>Очень мощный водопад в глубоком зелёном ущелье.</x:v>
      </x:c>
    </x:row>
    <x:row r="32" ht="18" customHeight="1">
      <x:c r="A32" s="47" t="str">
        <x:v>Водопад внутри скального коридора, лучи света в ущелье.</x:v>
      </x:c>
      <x:c r="B32" s="47" t="str">
        <x:v>Водопад внутри скального коридора, лучи света в ущелье.</x:v>
      </x:c>
      <x:c r="C32" s="47" t="str">
        <x:v>Водопад внутри скального коридора, лучи света в ущелье.</x:v>
      </x:c>
      <x:c r="D32" s="47" t="str">
        <x:v>Водопад внутри скального коридора, лучи света в ущелье.</x:v>
      </x:c>
      <x:c r="E32" s="4"/>
      <x:c r="F32" s="47" t="str">
        <x:v>Широкая стена струй, папоротники и природный бассейн.</x:v>
      </x:c>
      <x:c r="G32" s="47" t="str">
        <x:v>Широкая стена струй, папоротники и природный бассейн.</x:v>
      </x:c>
      <x:c r="H32" s="47" t="str">
        <x:v>Широкая стена струй, папоротники и природный бассейн.</x:v>
      </x:c>
      <x:c r="I32" s="47" t="str">
        <x:v>Широкая стена струй, папоротники и природный бассейн.</x:v>
      </x:c>
      <x:c r="J32" s="4"/>
      <x:c r="K32" s="47" t="str">
        <x:v>Очень мощный водопад в глубоком зелёном ущелье.</x:v>
      </x:c>
      <x:c r="L32" s="47" t="str">
        <x:v>Очень мощный водопад в глубоком зелёном ущелье.</x:v>
      </x:c>
      <x:c r="M32" s="47" t="str">
        <x:v>Очень мощный водопад в глубоком зелёном ущелье.</x:v>
      </x:c>
      <x:c r="N32" s="47" t="str">
        <x:v>Очень мощный водопад в глубоком зелёном ущелье.</x:v>
      </x:c>
    </x:row>
    <x:row r="33" ht="18" customHeight="1">
      <x:c r="A33" s="48" t="str">
        <x:v>Бангли  •  TA 4.5 / 5  •  Известное</x:v>
      </x:c>
      <x:c r="B33" s="48" t="str">
        <x:v>Бангли  •  TA 4.5 / 5  •  Известное</x:v>
      </x:c>
      <x:c r="C33" s="48" t="str">
        <x:v>Бангли  •  TA 4.5 / 5  •  Известное</x:v>
      </x:c>
      <x:c r="D33" s="48" t="str">
        <x:v>Бангли  •  TA 4.5 / 5  •  Известное</x:v>
      </x:c>
      <x:c r="E33" s="4"/>
      <x:c r="F33" s="48" t="str">
        <x:v>Мундук  •  TA 4.7 / 5  •  Известное</x:v>
      </x:c>
      <x:c r="G33" s="48" t="str">
        <x:v>Мундук  •  TA 4.7 / 5  •  Известное</x:v>
      </x:c>
      <x:c r="H33" s="48" t="str">
        <x:v>Мундук  •  TA 4.7 / 5  •  Известное</x:v>
      </x:c>
      <x:c r="I33" s="48" t="str">
        <x:v>Мундук  •  TA 4.7 / 5  •  Известное</x:v>
      </x:c>
      <x:c r="J33" s="4"/>
      <x:c r="K33" s="48" t="str">
        <x:v>Центр  •  TA 4.6 / 5  •  Известное</x:v>
      </x:c>
      <x:c r="L33" s="48" t="str">
        <x:v>Центр  •  TA 4.6 / 5  •  Известное</x:v>
      </x:c>
      <x:c r="M33" s="48" t="str">
        <x:v>Центр  •  TA 4.6 / 5  •  Известное</x:v>
      </x:c>
      <x:c r="N33" s="48" t="str">
        <x:v>Центр  •  TA 4.6 / 5  •  Известное</x:v>
      </x:c>
    </x:row>
    <x:row r="34" ht="18" customHeight="1">
      <x:c r="A34" s="8" t="str">
        <x:f>HYPERLINK("#'Места'!A59","В список →")</x:f>
        <x:v>В список →</x:v>
      </x:c>
      <x:c r="B34" s="4"/>
      <x:c r="C34" s="8" t="str">
        <x:f>HYPERLINK("https://dynamic-media-cdn.tripadvisor.com/media/photo-o/19/6e/1c/9a/tukad-cepung-waterfall.jpg?h=400&amp;s=1&amp;w=600","Источник ↗")</x:f>
        <x:v>Источник ↗</x:v>
      </x:c>
      <x:c r="D34" s="4"/>
      <x:c r="E34" s="4"/>
      <x:c r="F34" s="8" t="str">
        <x:f>HYPERLINK("#'Места'!A64","В список →")</x:f>
        <x:v>В список →</x:v>
      </x:c>
      <x:c r="G34" s="4"/>
      <x:c r="H34" s="8" t="str">
        <x:f>HYPERLINK("https://dynamic-media-cdn.tripadvisor.com/media/photo-o/17/7c/29/70/untouristic-watetfall.jpg?h=-1&amp;s=1&amp;w=700","Источник ↗")</x:f>
        <x:v>Источник ↗</x:v>
      </x:c>
      <x:c r="I34" s="4"/>
      <x:c r="J34" s="4"/>
      <x:c r="K34" s="8" t="str">
        <x:f>HYPERLINK("#'Места'!A61","В список →")</x:f>
        <x:v>В список →</x:v>
      </x:c>
      <x:c r="L34" s="4"/>
      <x:c r="M34" s="8" t="str">
        <x:f>HYPERLINK("https://dynamic-media-cdn.tripadvisor.com/media/photo-o/0a/54/26/a8/img-5332-largejpg.jpg?h=400&amp;s=1&amp;w=700","Источник ↗")</x:f>
        <x:v>Источник ↗</x:v>
      </x:c>
      <x:c r="N34" s="4"/>
    </x:row>
    <x:row r="35" ht="18" customHeight="1">
      <x:c r="A35" s="46" t="str">
        <x:v>07  Leke Leke Waterfall</x:v>
      </x:c>
      <x:c r="B35" s="46" t="str">
        <x:v>07  Leke Leke Waterfall</x:v>
      </x:c>
      <x:c r="C35" s="46" t="str">
        <x:v>07  Leke Leke Waterfall</x:v>
      </x:c>
      <x:c r="D35" s="46" t="str">
        <x:v>07  Leke Leke Waterfall</x:v>
      </x:c>
      <x:c r="E35" s="4"/>
      <x:c r="F35" s="46" t="str">
        <x:v>08  Aling-Aling Waterfall</x:v>
      </x:c>
      <x:c r="G35" s="46" t="str">
        <x:v>08  Aling-Aling Waterfall</x:v>
      </x:c>
      <x:c r="H35" s="46" t="str">
        <x:v>08  Aling-Aling Waterfall</x:v>
      </x:c>
      <x:c r="I35" s="46" t="str">
        <x:v>08  Aling-Aling Waterfall</x:v>
      </x:c>
      <x:c r="J35" s="4"/>
      <x:c r="K35" s="46" t="str">
        <x:v>09  Gitgit Waterfall</x:v>
      </x:c>
      <x:c r="L35" s="46" t="str">
        <x:v>09  Gitgit Waterfall</x:v>
      </x:c>
      <x:c r="M35" s="46" t="str">
        <x:v>09  Gitgit Waterfall</x:v>
      </x:c>
      <x:c r="N35" s="46" t="str">
        <x:v>09  Gitgit Waterfall</x:v>
      </x:c>
    </x:row>
    <x:row r="36" ht="18" customHeight="1">
      <x:c r="A36" s="46" t="str">
        <x:v>07  Leke Leke Waterfall</x:v>
      </x:c>
      <x:c r="B36" s="46" t="str">
        <x:v>07  Leke Leke Waterfall</x:v>
      </x:c>
      <x:c r="C36" s="46" t="str">
        <x:v>07  Leke Leke Waterfall</x:v>
      </x:c>
      <x:c r="D36" s="46" t="str">
        <x:v>07  Leke Leke Waterfall</x:v>
      </x:c>
      <x:c r="E36" s="4"/>
      <x:c r="F36" s="46" t="str">
        <x:v>08  Aling-Aling Waterfall</x:v>
      </x:c>
      <x:c r="G36" s="46" t="str">
        <x:v>08  Aling-Aling Waterfall</x:v>
      </x:c>
      <x:c r="H36" s="46" t="str">
        <x:v>08  Aling-Aling Waterfall</x:v>
      </x:c>
      <x:c r="I36" s="46" t="str">
        <x:v>08  Aling-Aling Waterfall</x:v>
      </x:c>
      <x:c r="J36" s="4"/>
      <x:c r="K36" s="46" t="str">
        <x:v>09  Gitgit Waterfall</x:v>
      </x:c>
      <x:c r="L36" s="46" t="str">
        <x:v>09  Gitgit Waterfall</x:v>
      </x:c>
      <x:c r="M36" s="46" t="str">
        <x:v>09  Gitgit Waterfall</x:v>
      </x:c>
      <x:c r="N36" s="46" t="str">
        <x:v>09  Gitgit Waterfall</x:v>
      </x:c>
    </x:row>
    <x:row r="37" ht="18" customHeight="1">
      <x:c r="A37" s="4"/>
      <x:c r="B37" s="4"/>
      <x:c r="C37" s="4"/>
      <x:c r="D37" s="4"/>
      <x:c r="E37" s="4"/>
      <x:c r="F37" s="4"/>
      <x:c r="G37" s="4"/>
      <x:c r="H37" s="4"/>
      <x:c r="I37" s="4"/>
      <x:c r="J37" s="4"/>
      <x:c r="K37" s="4"/>
      <x:c r="L37" s="4"/>
      <x:c r="M37" s="4"/>
      <x:c r="N37" s="4"/>
    </x:row>
    <x:row r="38" ht="18" customHeight="1">
      <x:c r="A38" s="4"/>
      <x:c r="B38" s="4"/>
      <x:c r="C38" s="4"/>
      <x:c r="D38" s="4"/>
      <x:c r="E38" s="4"/>
      <x:c r="F38" s="4"/>
      <x:c r="G38" s="4"/>
      <x:c r="H38" s="4"/>
      <x:c r="I38" s="4"/>
      <x:c r="J38" s="4"/>
      <x:c r="K38" s="4"/>
      <x:c r="L38" s="4"/>
      <x:c r="M38" s="4"/>
      <x:c r="N38" s="4"/>
    </x:row>
    <x:row r="39" ht="18" customHeight="1">
      <x:c r="A39" s="4"/>
      <x:c r="B39" s="4"/>
      <x:c r="C39" s="4"/>
      <x:c r="D39" s="4"/>
      <x:c r="E39" s="4"/>
      <x:c r="F39" s="4"/>
      <x:c r="G39" s="4"/>
      <x:c r="H39" s="4"/>
      <x:c r="I39" s="4"/>
      <x:c r="J39" s="4"/>
      <x:c r="K39" s="4"/>
      <x:c r="L39" s="4"/>
      <x:c r="M39" s="4"/>
      <x:c r="N39" s="4"/>
    </x:row>
    <x:row r="40" ht="18" customHeight="1">
      <x:c r="A40" s="4"/>
      <x:c r="B40" s="4"/>
      <x:c r="C40" s="4"/>
      <x:c r="D40" s="4"/>
      <x:c r="E40" s="4"/>
      <x:c r="F40" s="4"/>
      <x:c r="G40" s="4"/>
      <x:c r="H40" s="4"/>
      <x:c r="I40" s="4"/>
      <x:c r="J40" s="4"/>
      <x:c r="K40" s="4"/>
      <x:c r="L40" s="4"/>
      <x:c r="M40" s="4"/>
      <x:c r="N40" s="4"/>
    </x:row>
    <x:row r="41" ht="18" customHeight="1">
      <x:c r="A41" s="4"/>
      <x:c r="B41" s="4"/>
      <x:c r="C41" s="4"/>
      <x:c r="D41" s="4"/>
      <x:c r="E41" s="4"/>
      <x:c r="F41" s="4"/>
      <x:c r="G41" s="4"/>
      <x:c r="H41" s="4"/>
      <x:c r="I41" s="4"/>
      <x:c r="J41" s="4"/>
      <x:c r="K41" s="4"/>
      <x:c r="L41" s="4"/>
      <x:c r="M41" s="4"/>
      <x:c r="N41" s="4"/>
    </x:row>
    <x:row r="42" ht="18" customHeight="1">
      <x:c r="A42" s="4"/>
      <x:c r="B42" s="4"/>
      <x:c r="C42" s="4"/>
      <x:c r="D42" s="4"/>
      <x:c r="E42" s="4"/>
      <x:c r="F42" s="4"/>
      <x:c r="G42" s="4"/>
      <x:c r="H42" s="4"/>
      <x:c r="I42" s="4"/>
      <x:c r="J42" s="4"/>
      <x:c r="K42" s="4"/>
      <x:c r="L42" s="4"/>
      <x:c r="M42" s="4"/>
      <x:c r="N42" s="4"/>
    </x:row>
    <x:row r="43" ht="18" customHeight="1">
      <x:c r="A43" s="4"/>
      <x:c r="B43" s="4"/>
      <x:c r="C43" s="4"/>
      <x:c r="D43" s="4"/>
      <x:c r="E43" s="4"/>
      <x:c r="F43" s="4"/>
      <x:c r="G43" s="4"/>
      <x:c r="H43" s="4"/>
      <x:c r="I43" s="4"/>
      <x:c r="J43" s="4"/>
      <x:c r="K43" s="4"/>
      <x:c r="L43" s="4"/>
      <x:c r="M43" s="4"/>
      <x:c r="N43" s="4"/>
    </x:row>
    <x:row r="44" ht="18" customHeight="1">
      <x:c r="A44" s="4"/>
      <x:c r="B44" s="4"/>
      <x:c r="C44" s="4"/>
      <x:c r="D44" s="4"/>
      <x:c r="E44" s="4"/>
      <x:c r="F44" s="4"/>
      <x:c r="G44" s="4"/>
      <x:c r="H44" s="4"/>
      <x:c r="I44" s="4"/>
      <x:c r="J44" s="4"/>
      <x:c r="K44" s="4"/>
      <x:c r="L44" s="4"/>
      <x:c r="M44" s="4"/>
      <x:c r="N44" s="4"/>
    </x:row>
    <x:row r="45" ht="18" customHeight="1">
      <x:c r="A45" s="47" t="str">
        <x:v>Тонкая белая струя между тёмными стенами и густой зеленью.</x:v>
      </x:c>
      <x:c r="B45" s="47" t="str">
        <x:v>Тонкая белая струя между тёмными стенами и густой зеленью.</x:v>
      </x:c>
      <x:c r="C45" s="47" t="str">
        <x:v>Тонкая белая струя между тёмными стенами и густой зеленью.</x:v>
      </x:c>
      <x:c r="D45" s="47" t="str">
        <x:v>Тонкая белая струя между тёмными стенами и густой зеленью.</x:v>
      </x:c>
      <x:c r="E45" s="4"/>
      <x:c r="F45" s="47" t="str">
        <x:v>Каскады Самбангана; прогулка и отдельные водные активности.</x:v>
      </x:c>
      <x:c r="G45" s="47" t="str">
        <x:v>Каскады Самбангана; прогулка и отдельные водные активности.</x:v>
      </x:c>
      <x:c r="H45" s="47" t="str">
        <x:v>Каскады Самбангана; прогулка и отдельные водные активности.</x:v>
      </x:c>
      <x:c r="I45" s="47" t="str">
        <x:v>Каскады Самбангана; прогулка и отдельные водные активности.</x:v>
      </x:c>
      <x:c r="J45" s="4"/>
      <x:c r="K45" s="47" t="str">
        <x:v>Классический водопад севера и зелёная дорожка к нему.</x:v>
      </x:c>
      <x:c r="L45" s="47" t="str">
        <x:v>Классический водопад севера и зелёная дорожка к нему.</x:v>
      </x:c>
      <x:c r="M45" s="47" t="str">
        <x:v>Классический водопад севера и зелёная дорожка к нему.</x:v>
      </x:c>
      <x:c r="N45" s="47" t="str">
        <x:v>Классический водопад севера и зелёная дорожка к нему.</x:v>
      </x:c>
    </x:row>
    <x:row r="46" ht="18" customHeight="1">
      <x:c r="A46" s="47" t="str">
        <x:v>Тонкая белая струя между тёмными стенами и густой зеленью.</x:v>
      </x:c>
      <x:c r="B46" s="47" t="str">
        <x:v>Тонкая белая струя между тёмными стенами и густой зеленью.</x:v>
      </x:c>
      <x:c r="C46" s="47" t="str">
        <x:v>Тонкая белая струя между тёмными стенами и густой зеленью.</x:v>
      </x:c>
      <x:c r="D46" s="47" t="str">
        <x:v>Тонкая белая струя между тёмными стенами и густой зеленью.</x:v>
      </x:c>
      <x:c r="E46" s="4"/>
      <x:c r="F46" s="47" t="str">
        <x:v>Каскады Самбангана; прогулка и отдельные водные активности.</x:v>
      </x:c>
      <x:c r="G46" s="47" t="str">
        <x:v>Каскады Самбангана; прогулка и отдельные водные активности.</x:v>
      </x:c>
      <x:c r="H46" s="47" t="str">
        <x:v>Каскады Самбангана; прогулка и отдельные водные активности.</x:v>
      </x:c>
      <x:c r="I46" s="47" t="str">
        <x:v>Каскады Самбангана; прогулка и отдельные водные активности.</x:v>
      </x:c>
      <x:c r="J46" s="4"/>
      <x:c r="K46" s="47" t="str">
        <x:v>Классический водопад севера и зелёная дорожка к нему.</x:v>
      </x:c>
      <x:c r="L46" s="47" t="str">
        <x:v>Классический водопад севера и зелёная дорожка к нему.</x:v>
      </x:c>
      <x:c r="M46" s="47" t="str">
        <x:v>Классический водопад севера и зелёная дорожка к нему.</x:v>
      </x:c>
      <x:c r="N46" s="47" t="str">
        <x:v>Классический водопад севера и зелёная дорожка к нему.</x:v>
      </x:c>
    </x:row>
    <x:row r="47" ht="18" customHeight="1">
      <x:c r="A47" s="48" t="str">
        <x:v>Бедугул  •  TA 4.4 / 5  •  Известное</x:v>
      </x:c>
      <x:c r="B47" s="48" t="str">
        <x:v>Бедугул  •  TA 4.4 / 5  •  Известное</x:v>
      </x:c>
      <x:c r="C47" s="48" t="str">
        <x:v>Бедугул  •  TA 4.4 / 5  •  Известное</x:v>
      </x:c>
      <x:c r="D47" s="48" t="str">
        <x:v>Бедугул  •  TA 4.4 / 5  •  Известное</x:v>
      </x:c>
      <x:c r="E47" s="4"/>
      <x:c r="F47" s="48" t="str">
        <x:v>Север  •  TA 4.5 / 5  •  Известное</x:v>
      </x:c>
      <x:c r="G47" s="48" t="str">
        <x:v>Север  •  TA 4.5 / 5  •  Известное</x:v>
      </x:c>
      <x:c r="H47" s="48" t="str">
        <x:v>Север  •  TA 4.5 / 5  •  Известное</x:v>
      </x:c>
      <x:c r="I47" s="48" t="str">
        <x:v>Север  •  TA 4.5 / 5  •  Известное</x:v>
      </x:c>
      <x:c r="J47" s="4"/>
      <x:c r="K47" s="48" t="str">
        <x:v>Север  •  TA 3.9 / 5  •  Известное</x:v>
      </x:c>
      <x:c r="L47" s="48" t="str">
        <x:v>Север  •  TA 3.9 / 5  •  Известное</x:v>
      </x:c>
      <x:c r="M47" s="48" t="str">
        <x:v>Север  •  TA 3.9 / 5  •  Известное</x:v>
      </x:c>
      <x:c r="N47" s="48" t="str">
        <x:v>Север  •  TA 3.9 / 5  •  Известное</x:v>
      </x:c>
    </x:row>
    <x:row r="48" ht="18" customHeight="1">
      <x:c r="A48" s="8" t="str">
        <x:f>HYPERLINK("#'Места'!A73","В список →")</x:f>
        <x:v>В список →</x:v>
      </x:c>
      <x:c r="B48" s="4"/>
      <x:c r="C48" s="8" t="str">
        <x:f>HYPERLINK("https://dynamic-media-cdn.tripadvisor.com/media/photo-o/17/bb/34/cf/photo4jpg.jpg?h=400&amp;s=1&amp;w=700","Источник ↗")</x:f>
        <x:v>Источник ↗</x:v>
      </x:c>
      <x:c r="D48" s="4"/>
      <x:c r="E48" s="4"/>
      <x:c r="F48" s="8" t="str">
        <x:f>HYPERLINK("#'Места'!A58","В список →")</x:f>
        <x:v>В список →</x:v>
      </x:c>
      <x:c r="G48" s="4"/>
      <x:c r="H48" s="8" t="str">
        <x:f>HYPERLINK("https://dynamic-media-cdn.tripadvisor.com/media/photo-o/17/d5/65/17/paradise.jpg?h=400&amp;s=1&amp;w=700","Источник ↗")</x:f>
        <x:v>Источник ↗</x:v>
      </x:c>
      <x:c r="I48" s="4"/>
      <x:c r="J48" s="4"/>
      <x:c r="K48" s="8" t="str">
        <x:f>HYPERLINK("#'Места'!A34","В список →")</x:f>
        <x:v>В список →</x:v>
      </x:c>
      <x:c r="L48" s="4"/>
      <x:c r="M48" s="8" t="str">
        <x:f>HYPERLINK("https://dynamic-media-cdn.tripadvisor.com/media/photo-o/09/97/b1/b3/gitgit-waterfall.jpg?h=400&amp;s=1&amp;w=700","Источник ↗")</x:f>
        <x:v>Источник ↗</x:v>
      </x:c>
      <x:c r="N48" s="4"/>
    </x:row>
    <x:row r="49" ht="18" customHeight="1">
      <x:c r="A49" s="46" t="str">
        <x:v>10  Munduk Waterfall</x:v>
      </x:c>
      <x:c r="B49" s="46" t="str">
        <x:v>10  Munduk Waterfall</x:v>
      </x:c>
      <x:c r="C49" s="46" t="str">
        <x:v>10  Munduk Waterfall</x:v>
      </x:c>
      <x:c r="D49" s="46" t="str">
        <x:v>10  Munduk Waterfall</x:v>
      </x:c>
      <x:c r="E49" s="4"/>
      <x:c r="F49" s="46" t="str">
        <x:v>11  Banyu Wana Amertha Waterfall</x:v>
      </x:c>
      <x:c r="G49" s="46" t="str">
        <x:v>11  Banyu Wana Amertha Waterfall</x:v>
      </x:c>
      <x:c r="H49" s="46" t="str">
        <x:v>11  Banyu Wana Amertha Waterfall</x:v>
      </x:c>
      <x:c r="I49" s="46" t="str">
        <x:v>11  Banyu Wana Amertha Waterfall</x:v>
      </x:c>
      <x:c r="J49" s="4"/>
      <x:c r="K49" s="46" t="str">
        <x:v>12  Gembleng Waterfall</x:v>
      </x:c>
      <x:c r="L49" s="46" t="str">
        <x:v>12  Gembleng Waterfall</x:v>
      </x:c>
      <x:c r="M49" s="46" t="str">
        <x:v>12  Gembleng Waterfall</x:v>
      </x:c>
      <x:c r="N49" s="46" t="str">
        <x:v>12  Gembleng Waterfall</x:v>
      </x:c>
    </x:row>
    <x:row r="50" ht="18" customHeight="1">
      <x:c r="A50" s="46" t="str">
        <x:v>10  Munduk Waterfall</x:v>
      </x:c>
      <x:c r="B50" s="46" t="str">
        <x:v>10  Munduk Waterfall</x:v>
      </x:c>
      <x:c r="C50" s="46" t="str">
        <x:v>10  Munduk Waterfall</x:v>
      </x:c>
      <x:c r="D50" s="46" t="str">
        <x:v>10  Munduk Waterfall</x:v>
      </x:c>
      <x:c r="E50" s="4"/>
      <x:c r="F50" s="46" t="str">
        <x:v>11  Banyu Wana Amertha Waterfall</x:v>
      </x:c>
      <x:c r="G50" s="46" t="str">
        <x:v>11  Banyu Wana Amertha Waterfall</x:v>
      </x:c>
      <x:c r="H50" s="46" t="str">
        <x:v>11  Banyu Wana Amertha Waterfall</x:v>
      </x:c>
      <x:c r="I50" s="46" t="str">
        <x:v>11  Banyu Wana Amertha Waterfall</x:v>
      </x:c>
      <x:c r="J50" s="4"/>
      <x:c r="K50" s="46" t="str">
        <x:v>12  Gembleng Waterfall</x:v>
      </x:c>
      <x:c r="L50" s="46" t="str">
        <x:v>12  Gembleng Waterfall</x:v>
      </x:c>
      <x:c r="M50" s="46" t="str">
        <x:v>12  Gembleng Waterfall</x:v>
      </x:c>
      <x:c r="N50" s="46" t="str">
        <x:v>12  Gembleng Waterfall</x:v>
      </x:c>
    </x:row>
    <x:row r="51" ht="18" customHeight="1">
      <x:c r="A51" s="4"/>
      <x:c r="B51" s="4"/>
      <x:c r="C51" s="4"/>
      <x:c r="D51" s="4"/>
      <x:c r="E51" s="4"/>
      <x:c r="F51" s="4"/>
      <x:c r="G51" s="4"/>
      <x:c r="H51" s="4"/>
      <x:c r="I51" s="4"/>
      <x:c r="J51" s="4"/>
      <x:c r="K51" s="4"/>
      <x:c r="L51" s="4"/>
      <x:c r="M51" s="4"/>
      <x:c r="N51" s="4"/>
    </x:row>
    <x:row r="52" ht="18" customHeight="1">
      <x:c r="A52" s="4"/>
      <x:c r="B52" s="4"/>
      <x:c r="C52" s="4"/>
      <x:c r="D52" s="4"/>
      <x:c r="E52" s="4"/>
      <x:c r="F52" s="4"/>
      <x:c r="G52" s="4"/>
      <x:c r="H52" s="4"/>
      <x:c r="I52" s="4"/>
      <x:c r="J52" s="4"/>
      <x:c r="K52" s="4"/>
      <x:c r="L52" s="4"/>
      <x:c r="M52" s="4"/>
      <x:c r="N52" s="4"/>
    </x:row>
    <x:row r="53" ht="18" customHeight="1">
      <x:c r="A53" s="4"/>
      <x:c r="B53" s="4"/>
      <x:c r="C53" s="4"/>
      <x:c r="D53" s="4"/>
      <x:c r="E53" s="4"/>
      <x:c r="F53" s="4"/>
      <x:c r="G53" s="4"/>
      <x:c r="H53" s="4"/>
      <x:c r="I53" s="4"/>
      <x:c r="J53" s="4"/>
      <x:c r="K53" s="4"/>
      <x:c r="L53" s="4"/>
      <x:c r="M53" s="4"/>
      <x:c r="N53" s="4"/>
    </x:row>
    <x:row r="54" ht="18" customHeight="1">
      <x:c r="A54" s="4"/>
      <x:c r="B54" s="4"/>
      <x:c r="C54" s="4"/>
      <x:c r="D54" s="4"/>
      <x:c r="E54" s="4"/>
      <x:c r="F54" s="4"/>
      <x:c r="G54" s="4"/>
      <x:c r="H54" s="4"/>
      <x:c r="I54" s="4"/>
      <x:c r="J54" s="4"/>
      <x:c r="K54" s="4"/>
      <x:c r="L54" s="4"/>
      <x:c r="M54" s="4"/>
      <x:c r="N54" s="4"/>
    </x:row>
    <x:row r="55" ht="18" customHeight="1">
      <x:c r="A55" s="4"/>
      <x:c r="B55" s="4"/>
      <x:c r="C55" s="4"/>
      <x:c r="D55" s="4"/>
      <x:c r="E55" s="4"/>
      <x:c r="F55" s="4"/>
      <x:c r="G55" s="4"/>
      <x:c r="H55" s="4"/>
      <x:c r="I55" s="4"/>
      <x:c r="J55" s="4"/>
      <x:c r="K55" s="4"/>
      <x:c r="L55" s="4"/>
      <x:c r="M55" s="4"/>
      <x:c r="N55" s="4"/>
    </x:row>
    <x:row r="56" ht="18" customHeight="1">
      <x:c r="A56" s="4"/>
      <x:c r="B56" s="4"/>
      <x:c r="C56" s="4"/>
      <x:c r="D56" s="4"/>
      <x:c r="E56" s="4"/>
      <x:c r="F56" s="4"/>
      <x:c r="G56" s="4"/>
      <x:c r="H56" s="4"/>
      <x:c r="I56" s="4"/>
      <x:c r="J56" s="4"/>
      <x:c r="K56" s="4"/>
      <x:c r="L56" s="4"/>
      <x:c r="M56" s="4"/>
      <x:c r="N56" s="4"/>
    </x:row>
    <x:row r="57" ht="18" customHeight="1">
      <x:c r="A57" s="4"/>
      <x:c r="B57" s="4"/>
      <x:c r="C57" s="4"/>
      <x:c r="D57" s="4"/>
      <x:c r="E57" s="4"/>
      <x:c r="F57" s="4"/>
      <x:c r="G57" s="4"/>
      <x:c r="H57" s="4"/>
      <x:c r="I57" s="4"/>
      <x:c r="J57" s="4"/>
      <x:c r="K57" s="4"/>
      <x:c r="L57" s="4"/>
      <x:c r="M57" s="4"/>
      <x:c r="N57" s="4"/>
    </x:row>
    <x:row r="58" ht="18" customHeight="1">
      <x:c r="A58" s="4"/>
      <x:c r="B58" s="4"/>
      <x:c r="C58" s="4"/>
      <x:c r="D58" s="4"/>
      <x:c r="E58" s="4"/>
      <x:c r="F58" s="4"/>
      <x:c r="G58" s="4"/>
      <x:c r="H58" s="4"/>
      <x:c r="I58" s="4"/>
      <x:c r="J58" s="4"/>
      <x:c r="K58" s="4"/>
      <x:c r="L58" s="4"/>
      <x:c r="M58" s="4"/>
      <x:c r="N58" s="4"/>
    </x:row>
    <x:row r="59" ht="18" customHeight="1">
      <x:c r="A59" s="47" t="str">
        <x:v>Red Coral / Munduk: лесная тропа, специи и мощная струя.</x:v>
      </x:c>
      <x:c r="B59" s="47" t="str">
        <x:v>Red Coral / Munduk: лесная тропа, специи и мощная струя.</x:v>
      </x:c>
      <x:c r="C59" s="47" t="str">
        <x:v>Red Coral / Munduk: лесная тропа, специи и мощная струя.</x:v>
      </x:c>
      <x:c r="D59" s="47" t="str">
        <x:v>Red Coral / Munduk: лесная тропа, специи и мощная струя.</x:v>
      </x:c>
      <x:c r="E59" s="4"/>
      <x:c r="F59" s="47" t="str">
        <x:v>Несколько водопадов за один лесной маршрут; хороший небанальный выбор.</x:v>
      </x:c>
      <x:c r="G59" s="47" t="str">
        <x:v>Несколько водопадов за один лесной маршрут; хороший небанальный выбор.</x:v>
      </x:c>
      <x:c r="H59" s="47" t="str">
        <x:v>Несколько водопадов за один лесной маршрут; хороший небанальный выбор.</x:v>
      </x:c>
      <x:c r="I59" s="47" t="str">
        <x:v>Несколько водопадов за один лесной маршрут; хороший небанальный выбор.</x:v>
      </x:c>
      <x:c r="J59" s="4"/>
      <x:c r="K59" s="47" t="str">
        <x:v>Небольшие природные чаши с видом на джунгли Сидемена.</x:v>
      </x:c>
      <x:c r="L59" s="47" t="str">
        <x:v>Небольшие природные чаши с видом на джунгли Сидемена.</x:v>
      </x:c>
      <x:c r="M59" s="47" t="str">
        <x:v>Небольшие природные чаши с видом на джунгли Сидемена.</x:v>
      </x:c>
      <x:c r="N59" s="47" t="str">
        <x:v>Небольшие природные чаши с видом на джунгли Сидемена.</x:v>
      </x:c>
    </x:row>
    <x:row r="60" ht="18" customHeight="1">
      <x:c r="A60" s="47" t="str">
        <x:v>Red Coral / Munduk: лесная тропа, специи и мощная струя.</x:v>
      </x:c>
      <x:c r="B60" s="47" t="str">
        <x:v>Red Coral / Munduk: лесная тропа, специи и мощная струя.</x:v>
      </x:c>
      <x:c r="C60" s="47" t="str">
        <x:v>Red Coral / Munduk: лесная тропа, специи и мощная струя.</x:v>
      </x:c>
      <x:c r="D60" s="47" t="str">
        <x:v>Red Coral / Munduk: лесная тропа, специи и мощная струя.</x:v>
      </x:c>
      <x:c r="E60" s="4"/>
      <x:c r="F60" s="47" t="str">
        <x:v>Несколько водопадов за один лесной маршрут; хороший небанальный выбор.</x:v>
      </x:c>
      <x:c r="G60" s="47" t="str">
        <x:v>Несколько водопадов за один лесной маршрут; хороший небанальный выбор.</x:v>
      </x:c>
      <x:c r="H60" s="47" t="str">
        <x:v>Несколько водопадов за один лесной маршрут; хороший небанальный выбор.</x:v>
      </x:c>
      <x:c r="I60" s="47" t="str">
        <x:v>Несколько водопадов за один лесной маршрут; хороший небанальный выбор.</x:v>
      </x:c>
      <x:c r="J60" s="4"/>
      <x:c r="K60" s="47" t="str">
        <x:v>Небольшие природные чаши с видом на джунгли Сидемена.</x:v>
      </x:c>
      <x:c r="L60" s="47" t="str">
        <x:v>Небольшие природные чаши с видом на джунгли Сидемена.</x:v>
      </x:c>
      <x:c r="M60" s="47" t="str">
        <x:v>Небольшие природные чаши с видом на джунгли Сидемена.</x:v>
      </x:c>
      <x:c r="N60" s="47" t="str">
        <x:v>Небольшие природные чаши с видом на джунгли Сидемена.</x:v>
      </x:c>
    </x:row>
    <x:row r="61" ht="18" customHeight="1">
      <x:c r="A61" s="48" t="str">
        <x:v>Мундук  •  TA 4.3 / 5  •  Известное</x:v>
      </x:c>
      <x:c r="B61" s="48" t="str">
        <x:v>Мундук  •  TA 4.3 / 5  •  Известное</x:v>
      </x:c>
      <x:c r="C61" s="48" t="str">
        <x:v>Мундук  •  TA 4.3 / 5  •  Известное</x:v>
      </x:c>
      <x:c r="D61" s="48" t="str">
        <x:v>Мундук  •  TA 4.3 / 5  •  Известное</x:v>
      </x:c>
      <x:c r="E61" s="4"/>
      <x:c r="F61" s="48" t="str">
        <x:v>Мундук  •  TA 4.8 / 5  •  Неочевидное</x:v>
      </x:c>
      <x:c r="G61" s="48" t="str">
        <x:v>Мундук  •  TA 4.8 / 5  •  Неочевидное</x:v>
      </x:c>
      <x:c r="H61" s="48" t="str">
        <x:v>Мундук  •  TA 4.8 / 5  •  Неочевидное</x:v>
      </x:c>
      <x:c r="I61" s="48" t="str">
        <x:v>Мундук  •  TA 4.8 / 5  •  Неочевидное</x:v>
      </x:c>
      <x:c r="J61" s="4"/>
      <x:c r="K61" s="48" t="str">
        <x:v>Сидемен  •  TA 4.6 / 5  •  Неочевидное</x:v>
      </x:c>
      <x:c r="L61" s="48" t="str">
        <x:v>Сидемен  •  TA 4.6 / 5  •  Неочевидное</x:v>
      </x:c>
      <x:c r="M61" s="48" t="str">
        <x:v>Сидемен  •  TA 4.6 / 5  •  Неочевидное</x:v>
      </x:c>
      <x:c r="N61" s="48" t="str">
        <x:v>Сидемен  •  TA 4.6 / 5  •  Неочевидное</x:v>
      </x:c>
    </x:row>
    <x:row r="62" ht="18" customHeight="1">
      <x:c r="A62" s="8" t="str">
        <x:f>HYPERLINK("#'Места'!A52","В список →")</x:f>
        <x:v>В список →</x:v>
      </x:c>
      <x:c r="B62" s="4"/>
      <x:c r="C62" s="8" t="str">
        <x:f>HYPERLINK("https://dynamic-media-cdn.tripadvisor.com/media/photo-o/16/27/2a/ff/munduk-wasserfall-auf.jpg?h=400&amp;s=1&amp;w=700","Источник ↗")</x:f>
        <x:v>Источник ↗</x:v>
      </x:c>
      <x:c r="D62" s="4"/>
      <x:c r="E62" s="4"/>
      <x:c r="F62" s="8" t="str">
        <x:f>HYPERLINK("#'Места'!A76","В список →")</x:f>
        <x:v>В список →</x:v>
      </x:c>
      <x:c r="G62" s="4"/>
      <x:c r="H62" s="8" t="str">
        <x:f>HYPERLINK("https://dynamic-media-cdn.tripadvisor.com/media/photo-o/15/7c/b4/9c/air-terjun-banyu-wana.jpg?h=400&amp;s=1&amp;w=700","Источник ↗")</x:f>
        <x:v>Источник ↗</x:v>
      </x:c>
      <x:c r="I62" s="4"/>
      <x:c r="J62" s="4"/>
      <x:c r="K62" s="8" t="str">
        <x:f>HYPERLINK("#'Места'!A79","В список →")</x:f>
        <x:v>В список →</x:v>
      </x:c>
      <x:c r="L62" s="4"/>
      <x:c r="M62" s="8" t="str">
        <x:f>HYPERLINK("https://dynamic-media-cdn.tripadvisor.com/media/photo-o/2c/cb/7a/ce/caption.jpg?h=400&amp;s=1&amp;w=700","Источник ↗")</x:f>
        <x:v>Источник ↗</x:v>
      </x:c>
      <x:c r="N62" s="4"/>
    </x:row>
    <x:row r="63" ht="18" customHeight="1">
      <x:c r="A63" s="46" t="str">
        <x:v>13  Suwat Waterfall</x:v>
      </x:c>
      <x:c r="B63" s="46" t="str">
        <x:v>13  Suwat Waterfall</x:v>
      </x:c>
      <x:c r="C63" s="46" t="str">
        <x:v>13  Suwat Waterfall</x:v>
      </x:c>
      <x:c r="D63" s="46" t="str">
        <x:v>13  Suwat Waterfall</x:v>
      </x:c>
      <x:c r="E63" s="4"/>
      <x:c r="F63" s="46" t="str">
        <x:v>14  Kanto Lampo Waterfall</x:v>
      </x:c>
      <x:c r="G63" s="46" t="str">
        <x:v>14  Kanto Lampo Waterfall</x:v>
      </x:c>
      <x:c r="H63" s="46" t="str">
        <x:v>14  Kanto Lampo Waterfall</x:v>
      </x:c>
      <x:c r="I63" s="46" t="str">
        <x:v>14  Kanto Lampo Waterfall</x:v>
      </x:c>
      <x:c r="J63" s="4"/>
      <x:c r="K63" s="49" t="str">
        <x:v>15  Melasti Beach Ungasan</x:v>
      </x:c>
      <x:c r="L63" s="49" t="str">
        <x:v>15  Melasti Beach Ungasan</x:v>
      </x:c>
      <x:c r="M63" s="49" t="str">
        <x:v>15  Melasti Beach Ungasan</x:v>
      </x:c>
      <x:c r="N63" s="49" t="str">
        <x:v>15  Melasti Beach Ungasan</x:v>
      </x:c>
    </x:row>
    <x:row r="64" ht="18" customHeight="1">
      <x:c r="A64" s="46" t="str">
        <x:v>13  Suwat Waterfall</x:v>
      </x:c>
      <x:c r="B64" s="46" t="str">
        <x:v>13  Suwat Waterfall</x:v>
      </x:c>
      <x:c r="C64" s="46" t="str">
        <x:v>13  Suwat Waterfall</x:v>
      </x:c>
      <x:c r="D64" s="46" t="str">
        <x:v>13  Suwat Waterfall</x:v>
      </x:c>
      <x:c r="E64" s="4"/>
      <x:c r="F64" s="46" t="str">
        <x:v>14  Kanto Lampo Waterfall</x:v>
      </x:c>
      <x:c r="G64" s="46" t="str">
        <x:v>14  Kanto Lampo Waterfall</x:v>
      </x:c>
      <x:c r="H64" s="46" t="str">
        <x:v>14  Kanto Lampo Waterfall</x:v>
      </x:c>
      <x:c r="I64" s="46" t="str">
        <x:v>14  Kanto Lampo Waterfall</x:v>
      </x:c>
      <x:c r="J64" s="4"/>
      <x:c r="K64" s="49" t="str">
        <x:v>15  Melasti Beach Ungasan</x:v>
      </x:c>
      <x:c r="L64" s="49" t="str">
        <x:v>15  Melasti Beach Ungasan</x:v>
      </x:c>
      <x:c r="M64" s="49" t="str">
        <x:v>15  Melasti Beach Ungasan</x:v>
      </x:c>
      <x:c r="N64" s="49" t="str">
        <x:v>15  Melasti Beach Ungasan</x:v>
      </x:c>
    </x:row>
    <x:row r="65" ht="18" customHeight="1">
      <x:c r="A65" s="4"/>
      <x:c r="B65" s="4"/>
      <x:c r="C65" s="4"/>
      <x:c r="D65" s="4"/>
      <x:c r="E65" s="4"/>
      <x:c r="F65" s="4"/>
      <x:c r="G65" s="4"/>
      <x:c r="H65" s="4"/>
      <x:c r="I65" s="4"/>
      <x:c r="J65" s="4"/>
      <x:c r="K65" s="4"/>
      <x:c r="L65" s="4"/>
      <x:c r="M65" s="4"/>
      <x:c r="N65" s="4"/>
    </x:row>
    <x:row r="66" ht="18" customHeight="1">
      <x:c r="A66" s="4"/>
      <x:c r="B66" s="4"/>
      <x:c r="C66" s="4"/>
      <x:c r="D66" s="4"/>
      <x:c r="E66" s="4"/>
      <x:c r="F66" s="4"/>
      <x:c r="G66" s="4"/>
      <x:c r="H66" s="4"/>
      <x:c r="I66" s="4"/>
      <x:c r="J66" s="4"/>
      <x:c r="K66" s="4"/>
      <x:c r="L66" s="4"/>
      <x:c r="M66" s="4"/>
      <x:c r="N66" s="4"/>
    </x:row>
    <x:row r="67" ht="18" customHeight="1">
      <x:c r="A67" s="4"/>
      <x:c r="B67" s="4"/>
      <x:c r="C67" s="4"/>
      <x:c r="D67" s="4"/>
      <x:c r="E67" s="4"/>
      <x:c r="F67" s="4"/>
      <x:c r="G67" s="4"/>
      <x:c r="H67" s="4"/>
      <x:c r="I67" s="4"/>
      <x:c r="J67" s="4"/>
      <x:c r="K67" s="4"/>
      <x:c r="L67" s="4"/>
      <x:c r="M67" s="4"/>
      <x:c r="N67" s="4"/>
    </x:row>
    <x:row r="68" ht="18" customHeight="1">
      <x:c r="A68" s="4"/>
      <x:c r="B68" s="4"/>
      <x:c r="C68" s="4"/>
      <x:c r="D68" s="4"/>
      <x:c r="E68" s="4"/>
      <x:c r="F68" s="4"/>
      <x:c r="G68" s="4"/>
      <x:c r="H68" s="4"/>
      <x:c r="I68" s="4"/>
      <x:c r="J68" s="4"/>
      <x:c r="K68" s="4"/>
      <x:c r="L68" s="4"/>
      <x:c r="M68" s="4"/>
      <x:c r="N68" s="4"/>
    </x:row>
    <x:row r="69" ht="18" customHeight="1">
      <x:c r="A69" s="4"/>
      <x:c r="B69" s="4"/>
      <x:c r="C69" s="4"/>
      <x:c r="D69" s="4"/>
      <x:c r="E69" s="4"/>
      <x:c r="F69" s="4"/>
      <x:c r="G69" s="4"/>
      <x:c r="H69" s="4"/>
      <x:c r="I69" s="4"/>
      <x:c r="J69" s="4"/>
      <x:c r="K69" s="4"/>
      <x:c r="L69" s="4"/>
      <x:c r="M69" s="4"/>
      <x:c r="N69" s="4"/>
    </x:row>
    <x:row r="70" ht="18" customHeight="1">
      <x:c r="A70" s="4"/>
      <x:c r="B70" s="4"/>
      <x:c r="C70" s="4"/>
      <x:c r="D70" s="4"/>
      <x:c r="E70" s="4"/>
      <x:c r="F70" s="4"/>
      <x:c r="G70" s="4"/>
      <x:c r="H70" s="4"/>
      <x:c r="I70" s="4"/>
      <x:c r="J70" s="4"/>
      <x:c r="K70" s="4"/>
      <x:c r="L70" s="4"/>
      <x:c r="M70" s="4"/>
      <x:c r="N70" s="4"/>
    </x:row>
    <x:row r="71" ht="18" customHeight="1">
      <x:c r="A71" s="4"/>
      <x:c r="B71" s="4"/>
      <x:c r="C71" s="4"/>
      <x:c r="D71" s="4"/>
      <x:c r="E71" s="4"/>
      <x:c r="F71" s="4"/>
      <x:c r="G71" s="4"/>
      <x:c r="H71" s="4"/>
      <x:c r="I71" s="4"/>
      <x:c r="J71" s="4"/>
      <x:c r="K71" s="4"/>
      <x:c r="L71" s="4"/>
      <x:c r="M71" s="4"/>
      <x:c r="N71" s="4"/>
    </x:row>
    <x:row r="72" ht="18" customHeight="1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  <x:c r="M72" s="4"/>
      <x:c r="N72" s="4"/>
    </x:row>
    <x:row r="73" ht="18" customHeight="1">
      <x:c r="A73" s="47" t="str">
        <x:v>Компактный водопад с зелёным подходом и фотоплотом.</x:v>
      </x:c>
      <x:c r="B73" s="47" t="str">
        <x:v>Компактный водопад с зелёным подходом и фотоплотом.</x:v>
      </x:c>
      <x:c r="C73" s="47" t="str">
        <x:v>Компактный водопад с зелёным подходом и фотоплотом.</x:v>
      </x:c>
      <x:c r="D73" s="47" t="str">
        <x:v>Компактный водопад с зелёным подходом и фотоплотом.</x:v>
      </x:c>
      <x:c r="E73" s="4"/>
      <x:c r="F73" s="47" t="str">
        <x:v>Каскад воды по ступенчатой скале; популярная фотолокация.</x:v>
      </x:c>
      <x:c r="G73" s="47" t="str">
        <x:v>Каскад воды по ступенчатой скале; популярная фотолокация.</x:v>
      </x:c>
      <x:c r="H73" s="47" t="str">
        <x:v>Каскад воды по ступенчатой скале; популярная фотолокация.</x:v>
      </x:c>
      <x:c r="I73" s="47" t="str">
        <x:v>Каскад воды по ступенчатой скале; популярная фотолокация.</x:v>
      </x:c>
      <x:c r="J73" s="4"/>
      <x:c r="K73" s="47" t="str">
        <x:v>Бирюзовая вода и эффектная дорога между белыми скалами.</x:v>
      </x:c>
      <x:c r="L73" s="47" t="str">
        <x:v>Бирюзовая вода и эффектная дорога между белыми скалами.</x:v>
      </x:c>
      <x:c r="M73" s="47" t="str">
        <x:v>Бирюзовая вода и эффектная дорога между белыми скалами.</x:v>
      </x:c>
      <x:c r="N73" s="47" t="str">
        <x:v>Бирюзовая вода и эффектная дорога между белыми скалами.</x:v>
      </x:c>
    </x:row>
    <x:row r="74" ht="18" customHeight="1">
      <x:c r="A74" s="47" t="str">
        <x:v>Компактный водопад с зелёным подходом и фотоплотом.</x:v>
      </x:c>
      <x:c r="B74" s="47" t="str">
        <x:v>Компактный водопад с зелёным подходом и фотоплотом.</x:v>
      </x:c>
      <x:c r="C74" s="47" t="str">
        <x:v>Компактный водопад с зелёным подходом и фотоплотом.</x:v>
      </x:c>
      <x:c r="D74" s="47" t="str">
        <x:v>Компактный водопад с зелёным подходом и фотоплотом.</x:v>
      </x:c>
      <x:c r="E74" s="4"/>
      <x:c r="F74" s="47" t="str">
        <x:v>Каскад воды по ступенчатой скале; популярная фотолокация.</x:v>
      </x:c>
      <x:c r="G74" s="47" t="str">
        <x:v>Каскад воды по ступенчатой скале; популярная фотолокация.</x:v>
      </x:c>
      <x:c r="H74" s="47" t="str">
        <x:v>Каскад воды по ступенчатой скале; популярная фотолокация.</x:v>
      </x:c>
      <x:c r="I74" s="47" t="str">
        <x:v>Каскад воды по ступенчатой скале; популярная фотолокация.</x:v>
      </x:c>
      <x:c r="J74" s="4"/>
      <x:c r="K74" s="47" t="str">
        <x:v>Бирюзовая вода и эффектная дорога между белыми скалами.</x:v>
      </x:c>
      <x:c r="L74" s="47" t="str">
        <x:v>Бирюзовая вода и эффектная дорога между белыми скалами.</x:v>
      </x:c>
      <x:c r="M74" s="47" t="str">
        <x:v>Бирюзовая вода и эффектная дорога между белыми скалами.</x:v>
      </x:c>
      <x:c r="N74" s="47" t="str">
        <x:v>Бирюзовая вода и эффектная дорога между белыми скалами.</x:v>
      </x:c>
    </x:row>
    <x:row r="75" ht="18" customHeight="1">
      <x:c r="A75" s="48" t="str">
        <x:v>Убуд  •  TA 4.1 / 5  •  Неочевидное</x:v>
      </x:c>
      <x:c r="B75" s="48" t="str">
        <x:v>Убуд  •  TA 4.1 / 5  •  Неочевидное</x:v>
      </x:c>
      <x:c r="C75" s="48" t="str">
        <x:v>Убуд  •  TA 4.1 / 5  •  Неочевидное</x:v>
      </x:c>
      <x:c r="D75" s="48" t="str">
        <x:v>Убуд  •  TA 4.1 / 5  •  Неочевидное</x:v>
      </x:c>
      <x:c r="E75" s="4"/>
      <x:c r="F75" s="48" t="str">
        <x:v>Убуд  •  TA 4.3 / 5  •  Известное</x:v>
      </x:c>
      <x:c r="G75" s="48" t="str">
        <x:v>Убуд  •  TA 4.3 / 5  •  Известное</x:v>
      </x:c>
      <x:c r="H75" s="48" t="str">
        <x:v>Убуд  •  TA 4.3 / 5  •  Известное</x:v>
      </x:c>
      <x:c r="I75" s="48" t="str">
        <x:v>Убуд  •  TA 4.3 / 5  •  Известное</x:v>
      </x:c>
      <x:c r="J75" s="4"/>
      <x:c r="K75" s="48" t="str">
        <x:v>Букит  •  TA 4.5 / 5  •  Известное</x:v>
      </x:c>
      <x:c r="L75" s="48" t="str">
        <x:v>Букит  •  TA 4.5 / 5  •  Известное</x:v>
      </x:c>
      <x:c r="M75" s="48" t="str">
        <x:v>Букит  •  TA 4.5 / 5  •  Известное</x:v>
      </x:c>
      <x:c r="N75" s="48" t="str">
        <x:v>Букит  •  TA 4.5 / 5  •  Известное</x:v>
      </x:c>
    </x:row>
    <x:row r="76" ht="18" customHeight="1">
      <x:c r="A76" s="8" t="str">
        <x:f>HYPERLINK("#'Места'!A82","В список →")</x:f>
        <x:v>В список →</x:v>
      </x:c>
      <x:c r="B76" s="4"/>
      <x:c r="C76" s="8" t="str">
        <x:f>HYPERLINK("https://dynamic-media-cdn.tripadvisor.com/media/photo-o/1c/f4/0d/83/bamboo-raft.jpg?h=400&amp;s=1&amp;w=700","Источник ↗")</x:f>
        <x:v>Источник ↗</x:v>
      </x:c>
      <x:c r="D76" s="4"/>
      <x:c r="E76" s="4"/>
      <x:c r="F76" s="8" t="str">
        <x:f>HYPERLINK("#'Места'!A54","В список →")</x:f>
        <x:v>В список →</x:v>
      </x:c>
      <x:c r="G76" s="4"/>
      <x:c r="H76" s="8" t="str">
        <x:f>HYPERLINK("https://dynamic-media-cdn.tripadvisor.com/media/photo-o/16/8f/39/f1/tour-full-day-sangat.jpg?h=400&amp;s=1&amp;w=700","Источник ↗")</x:f>
        <x:v>Источник ↗</x:v>
      </x:c>
      <x:c r="I76" s="4"/>
      <x:c r="J76" s="4"/>
      <x:c r="K76" s="8" t="str">
        <x:f>HYPERLINK("#'Места'!A48","В список →")</x:f>
        <x:v>В список →</x:v>
      </x:c>
      <x:c r="L76" s="4"/>
      <x:c r="M76" s="8" t="str">
        <x:f>HYPERLINK("https://dynamic-media-cdn.tripadvisor.com/media/photo-o/0b/d8/3d/98/view-from-the-cliff.jpg?h=-1&amp;s=1&amp;w=700","Источник ↗")</x:f>
        <x:v>Источник ↗</x:v>
      </x:c>
      <x:c r="N76" s="4"/>
    </x:row>
    <x:row r="77" ht="18" customHeight="1">
      <x:c r="A77" s="49" t="str">
        <x:v>16  Pandawa Beach</x:v>
      </x:c>
      <x:c r="B77" s="49" t="str">
        <x:v>16  Pandawa Beach</x:v>
      </x:c>
      <x:c r="C77" s="49" t="str">
        <x:v>16  Pandawa Beach</x:v>
      </x:c>
      <x:c r="D77" s="49" t="str">
        <x:v>16  Pandawa Beach</x:v>
      </x:c>
      <x:c r="E77" s="4"/>
      <x:c r="F77" s="49" t="str">
        <x:v>17  Padang Padang Beach</x:v>
      </x:c>
      <x:c r="G77" s="49" t="str">
        <x:v>17  Padang Padang Beach</x:v>
      </x:c>
      <x:c r="H77" s="49" t="str">
        <x:v>17  Padang Padang Beach</x:v>
      </x:c>
      <x:c r="I77" s="49" t="str">
        <x:v>17  Padang Padang Beach</x:v>
      </x:c>
      <x:c r="J77" s="4"/>
      <x:c r="K77" s="49" t="str">
        <x:v>18  Bingin Beach</x:v>
      </x:c>
      <x:c r="L77" s="49" t="str">
        <x:v>18  Bingin Beach</x:v>
      </x:c>
      <x:c r="M77" s="49" t="str">
        <x:v>18  Bingin Beach</x:v>
      </x:c>
      <x:c r="N77" s="49" t="str">
        <x:v>18  Bingin Beach</x:v>
      </x:c>
    </x:row>
    <x:row r="78" ht="18" customHeight="1">
      <x:c r="A78" s="49" t="str">
        <x:v>16  Pandawa Beach</x:v>
      </x:c>
      <x:c r="B78" s="49" t="str">
        <x:v>16  Pandawa Beach</x:v>
      </x:c>
      <x:c r="C78" s="49" t="str">
        <x:v>16  Pandawa Beach</x:v>
      </x:c>
      <x:c r="D78" s="49" t="str">
        <x:v>16  Pandawa Beach</x:v>
      </x:c>
      <x:c r="E78" s="4"/>
      <x:c r="F78" s="49" t="str">
        <x:v>17  Padang Padang Beach</x:v>
      </x:c>
      <x:c r="G78" s="49" t="str">
        <x:v>17  Padang Padang Beach</x:v>
      </x:c>
      <x:c r="H78" s="49" t="str">
        <x:v>17  Padang Padang Beach</x:v>
      </x:c>
      <x:c r="I78" s="49" t="str">
        <x:v>17  Padang Padang Beach</x:v>
      </x:c>
      <x:c r="J78" s="4"/>
      <x:c r="K78" s="49" t="str">
        <x:v>18  Bingin Beach</x:v>
      </x:c>
      <x:c r="L78" s="49" t="str">
        <x:v>18  Bingin Beach</x:v>
      </x:c>
      <x:c r="M78" s="49" t="str">
        <x:v>18  Bingin Beach</x:v>
      </x:c>
      <x:c r="N78" s="49" t="str">
        <x:v>18  Bingin Beach</x:v>
      </x:c>
    </x:row>
    <x:row r="79" ht="18" customHeight="1">
      <x:c r="A79" s="4"/>
      <x:c r="B79" s="4"/>
      <x:c r="C79" s="4"/>
      <x:c r="D79" s="4"/>
      <x:c r="E79" s="4"/>
      <x:c r="F79" s="4"/>
      <x:c r="G79" s="4"/>
      <x:c r="H79" s="4"/>
      <x:c r="I79" s="4"/>
      <x:c r="J79" s="4"/>
      <x:c r="K79" s="4"/>
      <x:c r="L79" s="4"/>
      <x:c r="M79" s="4"/>
      <x:c r="N79" s="4"/>
    </x:row>
    <x:row r="80" ht="18" customHeight="1">
      <x:c r="A80" s="4"/>
      <x:c r="B80" s="4"/>
      <x:c r="C80" s="4"/>
      <x:c r="D80" s="4"/>
      <x:c r="E80" s="4"/>
      <x:c r="F80" s="4"/>
      <x:c r="G80" s="4"/>
      <x:c r="H80" s="4"/>
      <x:c r="I80" s="4"/>
      <x:c r="J80" s="4"/>
      <x:c r="K80" s="4"/>
      <x:c r="L80" s="4"/>
      <x:c r="M80" s="4"/>
      <x:c r="N80" s="4"/>
    </x:row>
    <x:row r="81" ht="18" customHeight="1">
      <x:c r="A81" s="4"/>
      <x:c r="B81" s="4"/>
      <x:c r="C81" s="4"/>
      <x:c r="D81" s="4"/>
      <x:c r="E81" s="4"/>
      <x:c r="F81" s="4"/>
      <x:c r="G81" s="4"/>
      <x:c r="H81" s="4"/>
      <x:c r="I81" s="4"/>
      <x:c r="J81" s="4"/>
      <x:c r="K81" s="4"/>
      <x:c r="L81" s="4"/>
      <x:c r="M81" s="4"/>
      <x:c r="N81" s="4"/>
    </x:row>
    <x:row r="82" ht="18" customHeight="1">
      <x:c r="A82" s="4"/>
      <x:c r="B82" s="4"/>
      <x:c r="C82" s="4"/>
      <x:c r="D82" s="4"/>
      <x:c r="E82" s="4"/>
      <x:c r="F82" s="4"/>
      <x:c r="G82" s="4"/>
      <x:c r="H82" s="4"/>
      <x:c r="I82" s="4"/>
      <x:c r="J82" s="4"/>
      <x:c r="K82" s="4"/>
      <x:c r="L82" s="4"/>
      <x:c r="M82" s="4"/>
      <x:c r="N82" s="4"/>
    </x:row>
    <x:row r="83" ht="18" customHeight="1">
      <x:c r="A83" s="4"/>
      <x:c r="B83" s="4"/>
      <x:c r="C83" s="4"/>
      <x:c r="D83" s="4"/>
      <x:c r="E83" s="4"/>
      <x:c r="F83" s="4"/>
      <x:c r="G83" s="4"/>
      <x:c r="H83" s="4"/>
      <x:c r="I83" s="4"/>
      <x:c r="J83" s="4"/>
      <x:c r="K83" s="4"/>
      <x:c r="L83" s="4"/>
      <x:c r="M83" s="4"/>
      <x:c r="N83" s="4"/>
    </x:row>
    <x:row r="84" ht="18" customHeight="1">
      <x:c r="A84" s="4"/>
      <x:c r="B84" s="4"/>
      <x:c r="C84" s="4"/>
      <x:c r="D84" s="4"/>
      <x:c r="E84" s="4"/>
      <x:c r="F84" s="4"/>
      <x:c r="G84" s="4"/>
      <x:c r="H84" s="4"/>
      <x:c r="I84" s="4"/>
      <x:c r="J84" s="4"/>
      <x:c r="K84" s="4"/>
      <x:c r="L84" s="4"/>
      <x:c r="M84" s="4"/>
      <x:c r="N84" s="4"/>
    </x:row>
    <x:row r="85" ht="18" customHeight="1">
      <x:c r="A85" s="4"/>
      <x:c r="B85" s="4"/>
      <x:c r="C85" s="4"/>
      <x:c r="D85" s="4"/>
      <x:c r="E85" s="4"/>
      <x:c r="F85" s="4"/>
      <x:c r="G85" s="4"/>
      <x:c r="H85" s="4"/>
      <x:c r="I85" s="4"/>
      <x:c r="J85" s="4"/>
      <x:c r="K85" s="4"/>
      <x:c r="L85" s="4"/>
      <x:c r="M85" s="4"/>
      <x:c r="N85" s="4"/>
    </x:row>
    <x:row r="86" ht="18" customHeight="1">
      <x:c r="A86" s="4"/>
      <x:c r="B86" s="4"/>
      <x:c r="C86" s="4"/>
      <x:c r="D86" s="4"/>
      <x:c r="E86" s="4"/>
      <x:c r="F86" s="4"/>
      <x:c r="G86" s="4"/>
      <x:c r="H86" s="4"/>
      <x:c r="I86" s="4"/>
      <x:c r="J86" s="4"/>
      <x:c r="K86" s="4"/>
      <x:c r="L86" s="4"/>
      <x:c r="M86" s="4"/>
      <x:c r="N86" s="4"/>
    </x:row>
    <x:row r="87" ht="18" customHeight="1">
      <x:c r="A87" s="47" t="str">
        <x:v>Широкий пляж у известняковых стен со статуями.</x:v>
      </x:c>
      <x:c r="B87" s="47" t="str">
        <x:v>Широкий пляж у известняковых стен со статуями.</x:v>
      </x:c>
      <x:c r="C87" s="47" t="str">
        <x:v>Широкий пляж у известняковых стен со статуями.</x:v>
      </x:c>
      <x:c r="D87" s="47" t="str">
        <x:v>Широкий пляж у известняковых стен со статуями.</x:v>
      </x:c>
      <x:c r="E87" s="4"/>
      <x:c r="F87" s="47" t="str">
        <x:v>Небольшая бухта с проходом через скалу; узнаваемый пейзаж Букита.</x:v>
      </x:c>
      <x:c r="G87" s="47" t="str">
        <x:v>Небольшая бухта с проходом через скалу; узнаваемый пейзаж Букита.</x:v>
      </x:c>
      <x:c r="H87" s="47" t="str">
        <x:v>Небольшая бухта с проходом через скалу; узнаваемый пейзаж Букита.</x:v>
      </x:c>
      <x:c r="I87" s="47" t="str">
        <x:v>Небольшая бухта с проходом через скалу; узнаваемый пейзаж Букита.</x:v>
      </x:c>
      <x:c r="J87" s="4"/>
      <x:c r="K87" s="47" t="str">
        <x:v>Известный серф-пляж, который сильно изменился после сноса заведений.</x:v>
      </x:c>
      <x:c r="L87" s="47" t="str">
        <x:v>Известный серф-пляж, который сильно изменился после сноса заведений.</x:v>
      </x:c>
      <x:c r="M87" s="47" t="str">
        <x:v>Известный серф-пляж, который сильно изменился после сноса заведений.</x:v>
      </x:c>
      <x:c r="N87" s="47" t="str">
        <x:v>Известный серф-пляж, который сильно изменился после сноса заведений.</x:v>
      </x:c>
    </x:row>
    <x:row r="88" ht="18" customHeight="1">
      <x:c r="A88" s="47" t="str">
        <x:v>Широкий пляж у известняковых стен со статуями.</x:v>
      </x:c>
      <x:c r="B88" s="47" t="str">
        <x:v>Широкий пляж у известняковых стен со статуями.</x:v>
      </x:c>
      <x:c r="C88" s="47" t="str">
        <x:v>Широкий пляж у известняковых стен со статуями.</x:v>
      </x:c>
      <x:c r="D88" s="47" t="str">
        <x:v>Широкий пляж у известняковых стен со статуями.</x:v>
      </x:c>
      <x:c r="E88" s="4"/>
      <x:c r="F88" s="47" t="str">
        <x:v>Небольшая бухта с проходом через скалу; узнаваемый пейзаж Букита.</x:v>
      </x:c>
      <x:c r="G88" s="47" t="str">
        <x:v>Небольшая бухта с проходом через скалу; узнаваемый пейзаж Букита.</x:v>
      </x:c>
      <x:c r="H88" s="47" t="str">
        <x:v>Небольшая бухта с проходом через скалу; узнаваемый пейзаж Букита.</x:v>
      </x:c>
      <x:c r="I88" s="47" t="str">
        <x:v>Небольшая бухта с проходом через скалу; узнаваемый пейзаж Букита.</x:v>
      </x:c>
      <x:c r="J88" s="4"/>
      <x:c r="K88" s="47" t="str">
        <x:v>Известный серф-пляж, который сильно изменился после сноса заведений.</x:v>
      </x:c>
      <x:c r="L88" s="47" t="str">
        <x:v>Известный серф-пляж, который сильно изменился после сноса заведений.</x:v>
      </x:c>
      <x:c r="M88" s="47" t="str">
        <x:v>Известный серф-пляж, который сильно изменился после сноса заведений.</x:v>
      </x:c>
      <x:c r="N88" s="47" t="str">
        <x:v>Известный серф-пляж, который сильно изменился после сноса заведений.</x:v>
      </x:c>
    </x:row>
    <x:row r="89" ht="18" customHeight="1">
      <x:c r="A89" s="48" t="str">
        <x:v>Букит  •  TA 4.1 / 5  •  Известное</x:v>
      </x:c>
      <x:c r="B89" s="48" t="str">
        <x:v>Букит  •  TA 4.1 / 5  •  Известное</x:v>
      </x:c>
      <x:c r="C89" s="48" t="str">
        <x:v>Букит  •  TA 4.1 / 5  •  Известное</x:v>
      </x:c>
      <x:c r="D89" s="48" t="str">
        <x:v>Букит  •  TA 4.1 / 5  •  Известное</x:v>
      </x:c>
      <x:c r="E89" s="4"/>
      <x:c r="F89" s="48" t="str">
        <x:v>Букит  •  TA 3.8 / 5  •  Известное</x:v>
      </x:c>
      <x:c r="G89" s="48" t="str">
        <x:v>Букит  •  TA 3.8 / 5  •  Известное</x:v>
      </x:c>
      <x:c r="H89" s="48" t="str">
        <x:v>Букит  •  TA 3.8 / 5  •  Известное</x:v>
      </x:c>
      <x:c r="I89" s="48" t="str">
        <x:v>Букит  •  TA 3.8 / 5  •  Известное</x:v>
      </x:c>
      <x:c r="J89" s="4"/>
      <x:c r="K89" s="48" t="str">
        <x:v>Букит  •  TA 4.2 / 5  •  Сначала проверить</x:v>
      </x:c>
      <x:c r="L89" s="48" t="str">
        <x:v>Букит  •  TA 4.2 / 5  •  Сначала проверить</x:v>
      </x:c>
      <x:c r="M89" s="48" t="str">
        <x:v>Букит  •  TA 4.2 / 5  •  Сначала проверить</x:v>
      </x:c>
      <x:c r="N89" s="48" t="str">
        <x:v>Букит  •  TA 4.2 / 5  •  Сначала проверить</x:v>
      </x:c>
    </x:row>
    <x:row r="90" ht="18" customHeight="1">
      <x:c r="A90" s="8" t="str">
        <x:f>HYPERLINK("#'Места'!A20","В список →")</x:f>
        <x:v>В список →</x:v>
      </x:c>
      <x:c r="B90" s="4"/>
      <x:c r="C90" s="8" t="str">
        <x:f>HYPERLINK("https://dynamic-media-cdn.tripadvisor.com/media/photo-o/05/68/2e/aa/pantai-pendawa.jpg?h=400&amp;s=1&amp;w=700","Источник ↗")</x:f>
        <x:v>Источник ↗</x:v>
      </x:c>
      <x:c r="D90" s="4"/>
      <x:c r="E90" s="4"/>
      <x:c r="F90" s="8" t="str">
        <x:f>HYPERLINK("#'Места'!A25","В список →")</x:f>
        <x:v>В список →</x:v>
      </x:c>
      <x:c r="G90" s="4"/>
      <x:c r="H90" s="8" t="str">
        <x:f>HYPERLINK("https://dynamic-media-cdn.tripadvisor.com/media/photo-o/18/38/b0/8b/img20190704122550-largejpg.jpg?h=400&amp;s=1&amp;w=700","Источник ↗")</x:f>
        <x:v>Источник ↗</x:v>
      </x:c>
      <x:c r="I90" s="4"/>
      <x:c r="J90" s="4"/>
      <x:c r="K90" s="8" t="str">
        <x:f>HYPERLINK("#'Места'!A44","В список →")</x:f>
        <x:v>В список →</x:v>
      </x:c>
      <x:c r="L90" s="4"/>
      <x:c r="M90" s="8" t="str">
        <x:f>HYPERLINK("https://dynamic-media-cdn.tripadvisor.com/media/photo-o/09/fa/73/70/bingin-beach.jpg?h=400&amp;s=1&amp;w=700","Фото до/без дат")</x:f>
        <x:v>Фото до/без дат</x:v>
      </x:c>
      <x:c r="N90" s="4"/>
    </x:row>
    <x:row r="91" ht="18" customHeight="1">
      <x:c r="A91" s="49" t="str">
        <x:v>19  Balangan Beach</x:v>
      </x:c>
      <x:c r="B91" s="49" t="str">
        <x:v>19  Balangan Beach</x:v>
      </x:c>
      <x:c r="C91" s="49" t="str">
        <x:v>19  Balangan Beach</x:v>
      </x:c>
      <x:c r="D91" s="49" t="str">
        <x:v>19  Balangan Beach</x:v>
      </x:c>
      <x:c r="E91" s="4"/>
      <x:c r="F91" s="49" t="str">
        <x:v>20  Suluban Beach</x:v>
      </x:c>
      <x:c r="G91" s="49" t="str">
        <x:v>20  Suluban Beach</x:v>
      </x:c>
      <x:c r="H91" s="49" t="str">
        <x:v>20  Suluban Beach</x:v>
      </x:c>
      <x:c r="I91" s="49" t="str">
        <x:v>20  Suluban Beach</x:v>
      </x:c>
      <x:c r="J91" s="4"/>
      <x:c r="K91" s="49" t="str">
        <x:v>21  Nyang Nyang Beach</x:v>
      </x:c>
      <x:c r="L91" s="49" t="str">
        <x:v>21  Nyang Nyang Beach</x:v>
      </x:c>
      <x:c r="M91" s="49" t="str">
        <x:v>21  Nyang Nyang Beach</x:v>
      </x:c>
      <x:c r="N91" s="49" t="str">
        <x:v>21  Nyang Nyang Beach</x:v>
      </x:c>
    </x:row>
    <x:row r="92" ht="18" customHeight="1">
      <x:c r="A92" s="49" t="str">
        <x:v>19  Balangan Beach</x:v>
      </x:c>
      <x:c r="B92" s="49" t="str">
        <x:v>19  Balangan Beach</x:v>
      </x:c>
      <x:c r="C92" s="49" t="str">
        <x:v>19  Balangan Beach</x:v>
      </x:c>
      <x:c r="D92" s="49" t="str">
        <x:v>19  Balangan Beach</x:v>
      </x:c>
      <x:c r="E92" s="4"/>
      <x:c r="F92" s="49" t="str">
        <x:v>20  Suluban Beach</x:v>
      </x:c>
      <x:c r="G92" s="49" t="str">
        <x:v>20  Suluban Beach</x:v>
      </x:c>
      <x:c r="H92" s="49" t="str">
        <x:v>20  Suluban Beach</x:v>
      </x:c>
      <x:c r="I92" s="49" t="str">
        <x:v>20  Suluban Beach</x:v>
      </x:c>
      <x:c r="J92" s="4"/>
      <x:c r="K92" s="49" t="str">
        <x:v>21  Nyang Nyang Beach</x:v>
      </x:c>
      <x:c r="L92" s="49" t="str">
        <x:v>21  Nyang Nyang Beach</x:v>
      </x:c>
      <x:c r="M92" s="49" t="str">
        <x:v>21  Nyang Nyang Beach</x:v>
      </x:c>
      <x:c r="N92" s="49" t="str">
        <x:v>21  Nyang Nyang Beach</x:v>
      </x:c>
    </x:row>
    <x:row r="93" ht="18" customHeight="1">
      <x:c r="A93" s="4"/>
      <x:c r="B93" s="4"/>
      <x:c r="C93" s="4"/>
      <x:c r="D93" s="4"/>
      <x:c r="E93" s="4"/>
      <x:c r="F93" s="4"/>
      <x:c r="G93" s="4"/>
      <x:c r="H93" s="4"/>
      <x:c r="I93" s="4"/>
      <x:c r="J93" s="4"/>
      <x:c r="K93" s="4"/>
      <x:c r="L93" s="4"/>
      <x:c r="M93" s="4"/>
      <x:c r="N93" s="4"/>
    </x:row>
    <x:row r="94" ht="18" customHeight="1">
      <x:c r="A94" s="4"/>
      <x:c r="B94" s="4"/>
      <x:c r="C94" s="4"/>
      <x:c r="D94" s="4"/>
      <x:c r="E94" s="4"/>
      <x:c r="F94" s="4"/>
      <x:c r="G94" s="4"/>
      <x:c r="H94" s="4"/>
      <x:c r="I94" s="4"/>
      <x:c r="J94" s="4"/>
      <x:c r="K94" s="4"/>
      <x:c r="L94" s="4"/>
      <x:c r="M94" s="4"/>
      <x:c r="N94" s="4"/>
    </x:row>
    <x:row r="95" ht="18" customHeight="1">
      <x:c r="A95" s="4"/>
      <x:c r="B95" s="4"/>
      <x:c r="C95" s="4"/>
      <x:c r="D95" s="4"/>
      <x:c r="E95" s="4"/>
      <x:c r="F95" s="4"/>
      <x:c r="G95" s="4"/>
      <x:c r="H95" s="4"/>
      <x:c r="I95" s="4"/>
      <x:c r="J95" s="4"/>
      <x:c r="K95" s="4"/>
      <x:c r="L95" s="4"/>
      <x:c r="M95" s="4"/>
      <x:c r="N95" s="4"/>
    </x:row>
    <x:row r="96" ht="18" customHeight="1">
      <x:c r="A96" s="4"/>
      <x:c r="B96" s="4"/>
      <x:c r="C96" s="4"/>
      <x:c r="D96" s="4"/>
      <x:c r="E96" s="4"/>
      <x:c r="F96" s="4"/>
      <x:c r="G96" s="4"/>
      <x:c r="H96" s="4"/>
      <x:c r="I96" s="4"/>
      <x:c r="J96" s="4"/>
      <x:c r="K96" s="4"/>
      <x:c r="L96" s="4"/>
      <x:c r="M96" s="4"/>
      <x:c r="N96" s="4"/>
    </x:row>
    <x:row r="97" ht="18" customHeight="1">
      <x:c r="A97" s="4"/>
      <x:c r="B97" s="4"/>
      <x:c r="C97" s="4"/>
      <x:c r="D97" s="4"/>
      <x:c r="E97" s="4"/>
      <x:c r="F97" s="4"/>
      <x:c r="G97" s="4"/>
      <x:c r="H97" s="4"/>
      <x:c r="I97" s="4"/>
      <x:c r="J97" s="4"/>
      <x:c r="K97" s="4"/>
      <x:c r="L97" s="4"/>
      <x:c r="M97" s="4"/>
      <x:c r="N97" s="4"/>
    </x:row>
    <x:row r="98" ht="18" customHeight="1">
      <x:c r="A98" s="4"/>
      <x:c r="B98" s="4"/>
      <x:c r="C98" s="4"/>
      <x:c r="D98" s="4"/>
      <x:c r="E98" s="4"/>
      <x:c r="F98" s="4"/>
      <x:c r="G98" s="4"/>
      <x:c r="H98" s="4"/>
      <x:c r="I98" s="4"/>
      <x:c r="J98" s="4"/>
      <x:c r="K98" s="4"/>
      <x:c r="L98" s="4"/>
      <x:c r="M98" s="4"/>
      <x:c r="N98" s="4"/>
    </x:row>
    <x:row r="99" ht="18" customHeight="1">
      <x:c r="A99" s="4"/>
      <x:c r="B99" s="4"/>
      <x:c r="C99" s="4"/>
      <x:c r="D99" s="4"/>
      <x:c r="E99" s="4"/>
      <x:c r="F99" s="4"/>
      <x:c r="G99" s="4"/>
      <x:c r="H99" s="4"/>
      <x:c r="I99" s="4"/>
      <x:c r="J99" s="4"/>
      <x:c r="K99" s="4"/>
      <x:c r="L99" s="4"/>
      <x:c r="M99" s="4"/>
      <x:c r="N99" s="4"/>
    </x:row>
    <x:row r="100" ht="18" customHeight="1">
      <x:c r="A100" s="4"/>
      <x:c r="B100" s="4"/>
      <x:c r="C100" s="4"/>
      <x:c r="D100" s="4"/>
      <x:c r="E100" s="4"/>
      <x:c r="F100" s="4"/>
      <x:c r="G100" s="4"/>
      <x:c r="H100" s="4"/>
      <x:c r="I100" s="4"/>
      <x:c r="J100" s="4"/>
      <x:c r="K100" s="4"/>
      <x:c r="L100" s="4"/>
      <x:c r="M100" s="4"/>
      <x:c r="N100" s="4"/>
    </x:row>
    <x:row r="101" ht="18" customHeight="1">
      <x:c r="A101" s="47" t="str">
        <x:v>Длинная песчаная полоса, серферы и вид со скалы.</x:v>
      </x:c>
      <x:c r="B101" s="47" t="str">
        <x:v>Длинная песчаная полоса, серферы и вид со скалы.</x:v>
      </x:c>
      <x:c r="C101" s="47" t="str">
        <x:v>Длинная песчаная полоса, серферы и вид со скалы.</x:v>
      </x:c>
      <x:c r="D101" s="47" t="str">
        <x:v>Длинная песчаная полоса, серферы и вид со скалы.</x:v>
      </x:c>
      <x:c r="E101" s="4"/>
      <x:c r="F101" s="47" t="str">
        <x:v>Скальный проход и пещерный выход к океану; сильный серфовый характер.</x:v>
      </x:c>
      <x:c r="G101" s="47" t="str">
        <x:v>Скальный проход и пещерный выход к океану; сильный серфовый характер.</x:v>
      </x:c>
      <x:c r="H101" s="47" t="str">
        <x:v>Скальный проход и пещерный выход к океану; сильный серфовый характер.</x:v>
      </x:c>
      <x:c r="I101" s="47" t="str">
        <x:v>Скальный проход и пещерный выход к океану; сильный серфовый характер.</x:v>
      </x:c>
      <x:c r="J101" s="4"/>
      <x:c r="K101" s="47" t="str">
        <x:v>Протяжённый пляж под высоким обрывом; больше пространства.</x:v>
      </x:c>
      <x:c r="L101" s="47" t="str">
        <x:v>Протяжённый пляж под высоким обрывом; больше пространства.</x:v>
      </x:c>
      <x:c r="M101" s="47" t="str">
        <x:v>Протяжённый пляж под высоким обрывом; больше пространства.</x:v>
      </x:c>
      <x:c r="N101" s="47" t="str">
        <x:v>Протяжённый пляж под высоким обрывом; больше пространства.</x:v>
      </x:c>
    </x:row>
    <x:row r="102" ht="18" customHeight="1">
      <x:c r="A102" s="47" t="str">
        <x:v>Длинная песчаная полоса, серферы и вид со скалы.</x:v>
      </x:c>
      <x:c r="B102" s="47" t="str">
        <x:v>Длинная песчаная полоса, серферы и вид со скалы.</x:v>
      </x:c>
      <x:c r="C102" s="47" t="str">
        <x:v>Длинная песчаная полоса, серферы и вид со скалы.</x:v>
      </x:c>
      <x:c r="D102" s="47" t="str">
        <x:v>Длинная песчаная полоса, серферы и вид со скалы.</x:v>
      </x:c>
      <x:c r="E102" s="4"/>
      <x:c r="F102" s="47" t="str">
        <x:v>Скальный проход и пещерный выход к океану; сильный серфовый характер.</x:v>
      </x:c>
      <x:c r="G102" s="47" t="str">
        <x:v>Скальный проход и пещерный выход к океану; сильный серфовый характер.</x:v>
      </x:c>
      <x:c r="H102" s="47" t="str">
        <x:v>Скальный проход и пещерный выход к океану; сильный серфовый характер.</x:v>
      </x:c>
      <x:c r="I102" s="47" t="str">
        <x:v>Скальный проход и пещерный выход к океану; сильный серфовый характер.</x:v>
      </x:c>
      <x:c r="J102" s="4"/>
      <x:c r="K102" s="47" t="str">
        <x:v>Протяжённый пляж под высоким обрывом; больше пространства.</x:v>
      </x:c>
      <x:c r="L102" s="47" t="str">
        <x:v>Протяжённый пляж под высоким обрывом; больше пространства.</x:v>
      </x:c>
      <x:c r="M102" s="47" t="str">
        <x:v>Протяжённый пляж под высоким обрывом; больше пространства.</x:v>
      </x:c>
      <x:c r="N102" s="47" t="str">
        <x:v>Протяжённый пляж под высоким обрывом; больше пространства.</x:v>
      </x:c>
    </x:row>
    <x:row r="103" ht="18" customHeight="1">
      <x:c r="A103" s="48" t="str">
        <x:v>Букит  •  TA 4.3 / 5  •  Известное</x:v>
      </x:c>
      <x:c r="B103" s="48" t="str">
        <x:v>Букит  •  TA 4.3 / 5  •  Известное</x:v>
      </x:c>
      <x:c r="C103" s="48" t="str">
        <x:v>Букит  •  TA 4.3 / 5  •  Известное</x:v>
      </x:c>
      <x:c r="D103" s="48" t="str">
        <x:v>Букит  •  TA 4.3 / 5  •  Известное</x:v>
      </x:c>
      <x:c r="E103" s="4"/>
      <x:c r="F103" s="48" t="str">
        <x:v>Букит  •  TA 4.4 / 5  •  Известное</x:v>
      </x:c>
      <x:c r="G103" s="48" t="str">
        <x:v>Букит  •  TA 4.4 / 5  •  Известное</x:v>
      </x:c>
      <x:c r="H103" s="48" t="str">
        <x:v>Букит  •  TA 4.4 / 5  •  Известное</x:v>
      </x:c>
      <x:c r="I103" s="48" t="str">
        <x:v>Букит  •  TA 4.4 / 5  •  Известное</x:v>
      </x:c>
      <x:c r="J103" s="4"/>
      <x:c r="K103" s="48" t="str">
        <x:v>Букит  •  TA 4.3 / 5  •  Неочевидное</x:v>
      </x:c>
      <x:c r="L103" s="48" t="str">
        <x:v>Букит  •  TA 4.3 / 5  •  Неочевидное</x:v>
      </x:c>
      <x:c r="M103" s="48" t="str">
        <x:v>Букит  •  TA 4.3 / 5  •  Неочевидное</x:v>
      </x:c>
      <x:c r="N103" s="48" t="str">
        <x:v>Букит  •  TA 4.3 / 5  •  Неочевидное</x:v>
      </x:c>
    </x:row>
    <x:row r="104" ht="18" customHeight="1">
      <x:c r="A104" s="8" t="str">
        <x:f>HYPERLINK("#'Места'!A38","В список →")</x:f>
        <x:v>В список →</x:v>
      </x:c>
      <x:c r="B104" s="4"/>
      <x:c r="C104" s="8" t="str">
        <x:f>HYPERLINK("https://dynamic-media-cdn.tripadvisor.com/media/photo-o/0a/b7/df/8e/balangan-beach-jimbaran.jpg?h=-1&amp;s=1&amp;w=700","Источник ↗")</x:f>
        <x:v>Источник ↗</x:v>
      </x:c>
      <x:c r="D104" s="4"/>
      <x:c r="E104" s="4"/>
      <x:c r="F104" s="8" t="str">
        <x:f>HYPERLINK("#'Места'!A55","В список →")</x:f>
        <x:v>В список →</x:v>
      </x:c>
      <x:c r="G104" s="4"/>
      <x:c r="H104" s="8" t="str">
        <x:f>HYPERLINK("https://dynamic-media-cdn.tripadvisor.com/media/photo-o/05/ef/60/79/suluban-beach.jpg?h=400&amp;s=1&amp;w=700","Источник ↗")</x:f>
        <x:v>Источник ↗</x:v>
      </x:c>
      <x:c r="I104" s="4"/>
      <x:c r="J104" s="4"/>
      <x:c r="K104" s="8" t="str">
        <x:f>HYPERLINK("#'Места'!A65","В список →")</x:f>
        <x:v>В список →</x:v>
      </x:c>
      <x:c r="L104" s="4"/>
      <x:c r="M104" s="8" t="str">
        <x:f>HYPERLINK("https://dynamic-media-cdn.tripadvisor.com/media/photo-o/17/95/62/94/beach.jpg?h=400&amp;s=1&amp;w=700","Источник ↗")</x:f>
        <x:v>Источник ↗</x:v>
      </x:c>
      <x:c r="N104" s="4"/>
    </x:row>
    <x:row r="105" ht="18" customHeight="1">
      <x:c r="A105" s="49" t="str">
        <x:v>22  Gunung Payung Beach</x:v>
      </x:c>
      <x:c r="B105" s="49" t="str">
        <x:v>22  Gunung Payung Beach</x:v>
      </x:c>
      <x:c r="C105" s="49" t="str">
        <x:v>22  Gunung Payung Beach</x:v>
      </x:c>
      <x:c r="D105" s="49" t="str">
        <x:v>22  Gunung Payung Beach</x:v>
      </x:c>
      <x:c r="E105" s="4"/>
      <x:c r="F105" s="49" t="str">
        <x:v>23  Green Bowl Beach</x:v>
      </x:c>
      <x:c r="G105" s="49" t="str">
        <x:v>23  Green Bowl Beach</x:v>
      </x:c>
      <x:c r="H105" s="49" t="str">
        <x:v>23  Green Bowl Beach</x:v>
      </x:c>
      <x:c r="I105" s="49" t="str">
        <x:v>23  Green Bowl Beach</x:v>
      </x:c>
      <x:c r="J105" s="4"/>
      <x:c r="K105" s="49" t="str">
        <x:v>24  Virgin Beach</x:v>
      </x:c>
      <x:c r="L105" s="49" t="str">
        <x:v>24  Virgin Beach</x:v>
      </x:c>
      <x:c r="M105" s="49" t="str">
        <x:v>24  Virgin Beach</x:v>
      </x:c>
      <x:c r="N105" s="49" t="str">
        <x:v>24  Virgin Beach</x:v>
      </x:c>
    </x:row>
    <x:row r="106" ht="18" customHeight="1">
      <x:c r="A106" s="49" t="str">
        <x:v>22  Gunung Payung Beach</x:v>
      </x:c>
      <x:c r="B106" s="49" t="str">
        <x:v>22  Gunung Payung Beach</x:v>
      </x:c>
      <x:c r="C106" s="49" t="str">
        <x:v>22  Gunung Payung Beach</x:v>
      </x:c>
      <x:c r="D106" s="49" t="str">
        <x:v>22  Gunung Payung Beach</x:v>
      </x:c>
      <x:c r="E106" s="4"/>
      <x:c r="F106" s="49" t="str">
        <x:v>23  Green Bowl Beach</x:v>
      </x:c>
      <x:c r="G106" s="49" t="str">
        <x:v>23  Green Bowl Beach</x:v>
      </x:c>
      <x:c r="H106" s="49" t="str">
        <x:v>23  Green Bowl Beach</x:v>
      </x:c>
      <x:c r="I106" s="49" t="str">
        <x:v>23  Green Bowl Beach</x:v>
      </x:c>
      <x:c r="J106" s="4"/>
      <x:c r="K106" s="49" t="str">
        <x:v>24  Virgin Beach</x:v>
      </x:c>
      <x:c r="L106" s="49" t="str">
        <x:v>24  Virgin Beach</x:v>
      </x:c>
      <x:c r="M106" s="49" t="str">
        <x:v>24  Virgin Beach</x:v>
      </x:c>
      <x:c r="N106" s="49" t="str">
        <x:v>24  Virgin Beach</x:v>
      </x:c>
    </x:row>
    <x:row r="107" ht="18" customHeight="1">
      <x:c r="A107" s="4"/>
      <x:c r="B107" s="4"/>
      <x:c r="C107" s="4"/>
      <x:c r="D107" s="4"/>
      <x:c r="E107" s="4"/>
      <x:c r="F107" s="4"/>
      <x:c r="G107" s="4"/>
      <x:c r="H107" s="4"/>
      <x:c r="I107" s="4"/>
      <x:c r="J107" s="4"/>
      <x:c r="K107" s="4"/>
      <x:c r="L107" s="4"/>
      <x:c r="M107" s="4"/>
      <x:c r="N107" s="4"/>
    </x:row>
    <x:row r="108" ht="18" customHeight="1">
      <x:c r="A108" s="4"/>
      <x:c r="B108" s="4"/>
      <x:c r="C108" s="4"/>
      <x:c r="D108" s="4"/>
      <x:c r="E108" s="4"/>
      <x:c r="F108" s="4"/>
      <x:c r="G108" s="4"/>
      <x:c r="H108" s="4"/>
      <x:c r="I108" s="4"/>
      <x:c r="J108" s="4"/>
      <x:c r="K108" s="4"/>
      <x:c r="L108" s="4"/>
      <x:c r="M108" s="4"/>
      <x:c r="N108" s="4"/>
    </x:row>
    <x:row r="109" ht="18" customHeight="1">
      <x:c r="A109" s="4"/>
      <x:c r="B109" s="4"/>
      <x:c r="C109" s="4"/>
      <x:c r="D109" s="4"/>
      <x:c r="E109" s="4"/>
      <x:c r="F109" s="4"/>
      <x:c r="G109" s="4"/>
      <x:c r="H109" s="4"/>
      <x:c r="I109" s="4"/>
      <x:c r="J109" s="4"/>
      <x:c r="K109" s="4"/>
      <x:c r="L109" s="4"/>
      <x:c r="M109" s="4"/>
      <x:c r="N109" s="4"/>
    </x:row>
    <x:row r="110" ht="18" customHeight="1">
      <x:c r="A110" s="4"/>
      <x:c r="B110" s="4"/>
      <x:c r="C110" s="4"/>
      <x:c r="D110" s="4"/>
      <x:c r="E110" s="4"/>
      <x:c r="F110" s="4"/>
      <x:c r="G110" s="4"/>
      <x:c r="H110" s="4"/>
      <x:c r="I110" s="4"/>
      <x:c r="J110" s="4"/>
      <x:c r="K110" s="4"/>
      <x:c r="L110" s="4"/>
      <x:c r="M110" s="4"/>
      <x:c r="N110" s="4"/>
    </x:row>
    <x:row r="111" ht="18" customHeight="1">
      <x:c r="A111" s="4"/>
      <x:c r="B111" s="4"/>
      <x:c r="C111" s="4"/>
      <x:c r="D111" s="4"/>
      <x:c r="E111" s="4"/>
      <x:c r="F111" s="4"/>
      <x:c r="G111" s="4"/>
      <x:c r="H111" s="4"/>
      <x:c r="I111" s="4"/>
      <x:c r="J111" s="4"/>
      <x:c r="K111" s="4"/>
      <x:c r="L111" s="4"/>
      <x:c r="M111" s="4"/>
      <x:c r="N111" s="4"/>
    </x:row>
    <x:row r="112" ht="18" customHeight="1">
      <x:c r="A112" s="4"/>
      <x:c r="B112" s="4"/>
      <x:c r="C112" s="4"/>
      <x:c r="D112" s="4"/>
      <x:c r="E112" s="4"/>
      <x:c r="F112" s="4"/>
      <x:c r="G112" s="4"/>
      <x:c r="H112" s="4"/>
      <x:c r="I112" s="4"/>
      <x:c r="J112" s="4"/>
      <x:c r="K112" s="4"/>
      <x:c r="L112" s="4"/>
      <x:c r="M112" s="4"/>
      <x:c r="N112" s="4"/>
    </x:row>
    <x:row r="113" ht="18" customHeight="1">
      <x:c r="A113" s="4"/>
      <x:c r="B113" s="4"/>
      <x:c r="C113" s="4"/>
      <x:c r="D113" s="4"/>
      <x:c r="E113" s="4"/>
      <x:c r="F113" s="4"/>
      <x:c r="G113" s="4"/>
      <x:c r="H113" s="4"/>
      <x:c r="I113" s="4"/>
      <x:c r="J113" s="4"/>
      <x:c r="K113" s="4"/>
      <x:c r="L113" s="4"/>
      <x:c r="M113" s="4"/>
      <x:c r="N113" s="4"/>
    </x:row>
    <x:row r="114" ht="18" customHeight="1">
      <x:c r="A114" s="4"/>
      <x:c r="B114" s="4"/>
      <x:c r="C114" s="4"/>
      <x:c r="D114" s="4"/>
      <x:c r="E114" s="4"/>
      <x:c r="F114" s="4"/>
      <x:c r="G114" s="4"/>
      <x:c r="H114" s="4"/>
      <x:c r="I114" s="4"/>
      <x:c r="J114" s="4"/>
      <x:c r="K114" s="4"/>
      <x:c r="L114" s="4"/>
      <x:c r="M114" s="4"/>
      <x:c r="N114" s="4"/>
    </x:row>
    <x:row r="115" ht="18" customHeight="1">
      <x:c r="A115" s="47" t="str">
        <x:v>Светлый песок, скалы и пещера; спокойнее знаменитых соседей.</x:v>
      </x:c>
      <x:c r="B115" s="47" t="str">
        <x:v>Светлый песок, скалы и пещера; спокойнее знаменитых соседей.</x:v>
      </x:c>
      <x:c r="C115" s="47" t="str">
        <x:v>Светлый песок, скалы и пещера; спокойнее знаменитых соседей.</x:v>
      </x:c>
      <x:c r="D115" s="47" t="str">
        <x:v>Светлый песок, скалы и пещера; спокойнее знаменитых соседей.</x:v>
      </x:c>
      <x:c r="E115" s="4"/>
      <x:c r="F115" s="47" t="str">
        <x:v>Маленькая бухта с пещерами в основании утёса.</x:v>
      </x:c>
      <x:c r="G115" s="47" t="str">
        <x:v>Маленькая бухта с пещерами в основании утёса.</x:v>
      </x:c>
      <x:c r="H115" s="47" t="str">
        <x:v>Маленькая бухта с пещерами в основании утёса.</x:v>
      </x:c>
      <x:c r="I115" s="47" t="str">
        <x:v>Маленькая бухта с пещерами в основании утёса.</x:v>
      </x:c>
      <x:c r="J115" s="4"/>
      <x:c r="K115" s="47" t="str">
        <x:v>Светлый песок на востоке Бали, варунги и морской пейзаж.</x:v>
      </x:c>
      <x:c r="L115" s="47" t="str">
        <x:v>Светлый песок на востоке Бали, варунги и морской пейзаж.</x:v>
      </x:c>
      <x:c r="M115" s="47" t="str">
        <x:v>Светлый песок на востоке Бали, варунги и морской пейзаж.</x:v>
      </x:c>
      <x:c r="N115" s="47" t="str">
        <x:v>Светлый песок на востоке Бали, варунги и морской пейзаж.</x:v>
      </x:c>
    </x:row>
    <x:row r="116" ht="18" customHeight="1">
      <x:c r="A116" s="47" t="str">
        <x:v>Светлый песок, скалы и пещера; спокойнее знаменитых соседей.</x:v>
      </x:c>
      <x:c r="B116" s="47" t="str">
        <x:v>Светлый песок, скалы и пещера; спокойнее знаменитых соседей.</x:v>
      </x:c>
      <x:c r="C116" s="47" t="str">
        <x:v>Светлый песок, скалы и пещера; спокойнее знаменитых соседей.</x:v>
      </x:c>
      <x:c r="D116" s="47" t="str">
        <x:v>Светлый песок, скалы и пещера; спокойнее знаменитых соседей.</x:v>
      </x:c>
      <x:c r="E116" s="4"/>
      <x:c r="F116" s="47" t="str">
        <x:v>Маленькая бухта с пещерами в основании утёса.</x:v>
      </x:c>
      <x:c r="G116" s="47" t="str">
        <x:v>Маленькая бухта с пещерами в основании утёса.</x:v>
      </x:c>
      <x:c r="H116" s="47" t="str">
        <x:v>Маленькая бухта с пещерами в основании утёса.</x:v>
      </x:c>
      <x:c r="I116" s="47" t="str">
        <x:v>Маленькая бухта с пещерами в основании утёса.</x:v>
      </x:c>
      <x:c r="J116" s="4"/>
      <x:c r="K116" s="47" t="str">
        <x:v>Светлый песок на востоке Бали, варунги и морской пейзаж.</x:v>
      </x:c>
      <x:c r="L116" s="47" t="str">
        <x:v>Светлый песок на востоке Бали, варунги и морской пейзаж.</x:v>
      </x:c>
      <x:c r="M116" s="47" t="str">
        <x:v>Светлый песок на востоке Бали, варунги и морской пейзаж.</x:v>
      </x:c>
      <x:c r="N116" s="47" t="str">
        <x:v>Светлый песок на востоке Бали, варунги и морской пейзаж.</x:v>
      </x:c>
    </x:row>
    <x:row r="117" ht="18" customHeight="1">
      <x:c r="A117" s="48" t="str">
        <x:v>Букит  •  TA 4.6 / 5  •  Неочевидное</x:v>
      </x:c>
      <x:c r="B117" s="48" t="str">
        <x:v>Букит  •  TA 4.6 / 5  •  Неочевидное</x:v>
      </x:c>
      <x:c r="C117" s="48" t="str">
        <x:v>Букит  •  TA 4.6 / 5  •  Неочевидное</x:v>
      </x:c>
      <x:c r="D117" s="48" t="str">
        <x:v>Букит  •  TA 4.6 / 5  •  Неочевидное</x:v>
      </x:c>
      <x:c r="E117" s="4"/>
      <x:c r="F117" s="48" t="str">
        <x:v>Букит  •  TA 4.3 / 5  •  Неочевидное</x:v>
      </x:c>
      <x:c r="G117" s="48" t="str">
        <x:v>Букит  •  TA 4.3 / 5  •  Неочевидное</x:v>
      </x:c>
      <x:c r="H117" s="48" t="str">
        <x:v>Букит  •  TA 4.3 / 5  •  Неочевидное</x:v>
      </x:c>
      <x:c r="I117" s="48" t="str">
        <x:v>Букит  •  TA 4.3 / 5  •  Неочевидное</x:v>
      </x:c>
      <x:c r="J117" s="4"/>
      <x:c r="K117" s="48" t="str">
        <x:v>Карангасем  •  TA 4.3 / 5  •  Известное</x:v>
      </x:c>
      <x:c r="L117" s="48" t="str">
        <x:v>Карангасем  •  TA 4.3 / 5  •  Известное</x:v>
      </x:c>
      <x:c r="M117" s="48" t="str">
        <x:v>Карангасем  •  TA 4.3 / 5  •  Известное</x:v>
      </x:c>
      <x:c r="N117" s="48" t="str">
        <x:v>Карангасем  •  TA 4.3 / 5  •  Известное</x:v>
      </x:c>
    </x:row>
    <x:row r="118" ht="18" customHeight="1">
      <x:c r="A118" s="8" t="str">
        <x:f>HYPERLINK("#'Места'!A71","В список →")</x:f>
        <x:v>В список →</x:v>
      </x:c>
      <x:c r="B118" s="4"/>
      <x:c r="C118" s="8" t="str">
        <x:f>HYPERLINK("https://dynamic-media-cdn.tripadvisor.com/media/photo-o/0d/41/04/04/view-from-the-stairs.jpg?h=400&amp;s=1&amp;w=700","Источник ↗")</x:f>
        <x:v>Источник ↗</x:v>
      </x:c>
      <x:c r="D118" s="4"/>
      <x:c r="E118" s="4"/>
      <x:c r="F118" s="8" t="str">
        <x:f>HYPERLINK("#'Места'!A53","В список →")</x:f>
        <x:v>В список →</x:v>
      </x:c>
      <x:c r="G118" s="4"/>
      <x:c r="H118" s="8" t="str">
        <x:f>HYPERLINK("https://dynamic-media-cdn.tripadvisor.com/media/photo-o/07/fe/7e/1f/green-bowl-beach.jpg?h=400&amp;s=1&amp;w=700","Источник ↗")</x:f>
        <x:v>Источник ↗</x:v>
      </x:c>
      <x:c r="I118" s="4"/>
      <x:c r="J118" s="4"/>
      <x:c r="K118" s="8" t="str">
        <x:f>HYPERLINK("#'Места'!A63","В список →")</x:f>
        <x:v>В список →</x:v>
      </x:c>
      <x:c r="L118" s="4"/>
      <x:c r="M118" s="8" t="str">
        <x:f>HYPERLINK("https://dynamic-media-cdn.tripadvisor.com/media/photo-o/17/0f/c7/bb/20190405-122432-largejpg.jpg?h=-1&amp;s=1&amp;w=700","Источник ↗")</x:f>
        <x:v>Источник ↗</x:v>
      </x:c>
      <x:c r="N118" s="4"/>
    </x:row>
    <x:row r="119" ht="18" customHeight="1">
      <x:c r="A119" s="49" t="str">
        <x:v>25  Jemeluk Beach</x:v>
      </x:c>
      <x:c r="B119" s="49" t="str">
        <x:v>25  Jemeluk Beach</x:v>
      </x:c>
      <x:c r="C119" s="49" t="str">
        <x:v>25  Jemeluk Beach</x:v>
      </x:c>
      <x:c r="D119" s="49" t="str">
        <x:v>25  Jemeluk Beach</x:v>
      </x:c>
      <x:c r="E119" s="4"/>
      <x:c r="F119" s="49" t="str">
        <x:v>26  Sanur Beach</x:v>
      </x:c>
      <x:c r="G119" s="49" t="str">
        <x:v>26  Sanur Beach</x:v>
      </x:c>
      <x:c r="H119" s="49" t="str">
        <x:v>26  Sanur Beach</x:v>
      </x:c>
      <x:c r="I119" s="49" t="str">
        <x:v>26  Sanur Beach</x:v>
      </x:c>
      <x:c r="J119" s="4"/>
      <x:c r="K119" s="49" t="str">
        <x:v>27  Kelingking Beach</x:v>
      </x:c>
      <x:c r="L119" s="49" t="str">
        <x:v>27  Kelingking Beach</x:v>
      </x:c>
      <x:c r="M119" s="49" t="str">
        <x:v>27  Kelingking Beach</x:v>
      </x:c>
      <x:c r="N119" s="49" t="str">
        <x:v>27  Kelingking Beach</x:v>
      </x:c>
    </x:row>
    <x:row r="120" ht="18" customHeight="1">
      <x:c r="A120" s="49" t="str">
        <x:v>25  Jemeluk Beach</x:v>
      </x:c>
      <x:c r="B120" s="49" t="str">
        <x:v>25  Jemeluk Beach</x:v>
      </x:c>
      <x:c r="C120" s="49" t="str">
        <x:v>25  Jemeluk Beach</x:v>
      </x:c>
      <x:c r="D120" s="49" t="str">
        <x:v>25  Jemeluk Beach</x:v>
      </x:c>
      <x:c r="E120" s="4"/>
      <x:c r="F120" s="49" t="str">
        <x:v>26  Sanur Beach</x:v>
      </x:c>
      <x:c r="G120" s="49" t="str">
        <x:v>26  Sanur Beach</x:v>
      </x:c>
      <x:c r="H120" s="49" t="str">
        <x:v>26  Sanur Beach</x:v>
      </x:c>
      <x:c r="I120" s="49" t="str">
        <x:v>26  Sanur Beach</x:v>
      </x:c>
      <x:c r="J120" s="4"/>
      <x:c r="K120" s="49" t="str">
        <x:v>27  Kelingking Beach</x:v>
      </x:c>
      <x:c r="L120" s="49" t="str">
        <x:v>27  Kelingking Beach</x:v>
      </x:c>
      <x:c r="M120" s="49" t="str">
        <x:v>27  Kelingking Beach</x:v>
      </x:c>
      <x:c r="N120" s="49" t="str">
        <x:v>27  Kelingking Beach</x:v>
      </x:c>
    </x:row>
    <x:row r="121" ht="18" customHeight="1">
      <x:c r="A121" s="4"/>
      <x:c r="B121" s="4"/>
      <x:c r="C121" s="4"/>
      <x:c r="D121" s="4"/>
      <x:c r="E121" s="4"/>
      <x:c r="F121" s="4"/>
      <x:c r="G121" s="4"/>
      <x:c r="H121" s="4"/>
      <x:c r="I121" s="4"/>
      <x:c r="J121" s="4"/>
      <x:c r="K121" s="4"/>
      <x:c r="L121" s="4"/>
      <x:c r="M121" s="4"/>
      <x:c r="N121" s="4"/>
    </x:row>
    <x:row r="122" ht="18" customHeight="1">
      <x:c r="A122" s="4"/>
      <x:c r="B122" s="4"/>
      <x:c r="C122" s="4"/>
      <x:c r="D122" s="4"/>
      <x:c r="E122" s="4"/>
      <x:c r="F122" s="4"/>
      <x:c r="G122" s="4"/>
      <x:c r="H122" s="4"/>
      <x:c r="I122" s="4"/>
      <x:c r="J122" s="4"/>
      <x:c r="K122" s="4"/>
      <x:c r="L122" s="4"/>
      <x:c r="M122" s="4"/>
      <x:c r="N122" s="4"/>
    </x:row>
    <x:row r="123" ht="18" customHeight="1">
      <x:c r="A123" s="4"/>
      <x:c r="B123" s="4"/>
      <x:c r="C123" s="4"/>
      <x:c r="D123" s="4"/>
      <x:c r="E123" s="4"/>
      <x:c r="F123" s="4"/>
      <x:c r="G123" s="4"/>
      <x:c r="H123" s="4"/>
      <x:c r="I123" s="4"/>
      <x:c r="J123" s="4"/>
      <x:c r="K123" s="4"/>
      <x:c r="L123" s="4"/>
      <x:c r="M123" s="4"/>
      <x:c r="N123" s="4"/>
    </x:row>
    <x:row r="124" ht="18" customHeight="1">
      <x:c r="A124" s="4"/>
      <x:c r="B124" s="4"/>
      <x:c r="C124" s="4"/>
      <x:c r="D124" s="4"/>
      <x:c r="E124" s="4"/>
      <x:c r="F124" s="4"/>
      <x:c r="G124" s="4"/>
      <x:c r="H124" s="4"/>
      <x:c r="I124" s="4"/>
      <x:c r="J124" s="4"/>
      <x:c r="K124" s="4"/>
      <x:c r="L124" s="4"/>
      <x:c r="M124" s="4"/>
      <x:c r="N124" s="4"/>
    </x:row>
    <x:row r="125" ht="18" customHeight="1">
      <x:c r="A125" s="4"/>
      <x:c r="B125" s="4"/>
      <x:c r="C125" s="4"/>
      <x:c r="D125" s="4"/>
      <x:c r="E125" s="4"/>
      <x:c r="F125" s="4"/>
      <x:c r="G125" s="4"/>
      <x:c r="H125" s="4"/>
      <x:c r="I125" s="4"/>
      <x:c r="J125" s="4"/>
      <x:c r="K125" s="4"/>
      <x:c r="L125" s="4"/>
      <x:c r="M125" s="4"/>
      <x:c r="N125" s="4"/>
    </x:row>
    <x:row r="126" ht="18" customHeight="1">
      <x:c r="A126" s="4"/>
      <x:c r="B126" s="4"/>
      <x:c r="C126" s="4"/>
      <x:c r="D126" s="4"/>
      <x:c r="E126" s="4"/>
      <x:c r="F126" s="4"/>
      <x:c r="G126" s="4"/>
      <x:c r="H126" s="4"/>
      <x:c r="I126" s="4"/>
      <x:c r="J126" s="4"/>
      <x:c r="K126" s="4"/>
      <x:c r="L126" s="4"/>
      <x:c r="M126" s="4"/>
      <x:c r="N126" s="4"/>
    </x:row>
    <x:row r="127" ht="18" customHeight="1">
      <x:c r="A127" s="4"/>
      <x:c r="B127" s="4"/>
      <x:c r="C127" s="4"/>
      <x:c r="D127" s="4"/>
      <x:c r="E127" s="4"/>
      <x:c r="F127" s="4"/>
      <x:c r="G127" s="4"/>
      <x:c r="H127" s="4"/>
      <x:c r="I127" s="4"/>
      <x:c r="J127" s="4"/>
      <x:c r="K127" s="4"/>
      <x:c r="L127" s="4"/>
      <x:c r="M127" s="4"/>
      <x:c r="N127" s="4"/>
    </x:row>
    <x:row r="128" ht="18" customHeight="1">
      <x:c r="A128" s="4"/>
      <x:c r="B128" s="4"/>
      <x:c r="C128" s="4"/>
      <x:c r="D128" s="4"/>
      <x:c r="E128" s="4"/>
      <x:c r="F128" s="4"/>
      <x:c r="G128" s="4"/>
      <x:c r="H128" s="4"/>
      <x:c r="I128" s="4"/>
      <x:c r="J128" s="4"/>
      <x:c r="K128" s="4"/>
      <x:c r="L128" s="4"/>
      <x:c r="M128" s="4"/>
      <x:c r="N128" s="4"/>
    </x:row>
    <x:row r="129" ht="18" customHeight="1">
      <x:c r="A129" s="47" t="str">
        <x:v>Бухта Амеда для снорклинга у берега и вида на Агунг.</x:v>
      </x:c>
      <x:c r="B129" s="47" t="str">
        <x:v>Бухта Амеда для снорклинга у берега и вида на Агунг.</x:v>
      </x:c>
      <x:c r="C129" s="47" t="str">
        <x:v>Бухта Амеда для снорклинга у берега и вида на Агунг.</x:v>
      </x:c>
      <x:c r="D129" s="47" t="str">
        <x:v>Бухта Амеда для снорклинга у берега и вида на Агунг.</x:v>
      </x:c>
      <x:c r="E129" s="4"/>
      <x:c r="F129" s="47" t="str">
        <x:v>Длинная набережная для рассвета, прогулки, велосипеда и завтрака.</x:v>
      </x:c>
      <x:c r="G129" s="47" t="str">
        <x:v>Длинная набережная для рассвета, прогулки, велосипеда и завтрака.</x:v>
      </x:c>
      <x:c r="H129" s="47" t="str">
        <x:v>Длинная набережная для рассвета, прогулки, велосипеда и завтрака.</x:v>
      </x:c>
      <x:c r="I129" s="47" t="str">
        <x:v>Длинная набережная для рассвета, прогулки, велосипеда и завтрака.</x:v>
      </x:c>
      <x:c r="J129" s="4"/>
      <x:c r="K129" s="47" t="str">
        <x:v>Знаменитая скала «динозавр» и эффектный вид сверху.</x:v>
      </x:c>
      <x:c r="L129" s="47" t="str">
        <x:v>Знаменитая скала «динозавр» и эффектный вид сверху.</x:v>
      </x:c>
      <x:c r="M129" s="47" t="str">
        <x:v>Знаменитая скала «динозавр» и эффектный вид сверху.</x:v>
      </x:c>
      <x:c r="N129" s="47" t="str">
        <x:v>Знаменитая скала «динозавр» и эффектный вид сверху.</x:v>
      </x:c>
    </x:row>
    <x:row r="130" ht="18" customHeight="1">
      <x:c r="A130" s="47" t="str">
        <x:v>Бухта Амеда для снорклинга у берега и вида на Агунг.</x:v>
      </x:c>
      <x:c r="B130" s="47" t="str">
        <x:v>Бухта Амеда для снорклинга у берега и вида на Агунг.</x:v>
      </x:c>
      <x:c r="C130" s="47" t="str">
        <x:v>Бухта Амеда для снорклинга у берега и вида на Агунг.</x:v>
      </x:c>
      <x:c r="D130" s="47" t="str">
        <x:v>Бухта Амеда для снорклинга у берега и вида на Агунг.</x:v>
      </x:c>
      <x:c r="E130" s="4"/>
      <x:c r="F130" s="47" t="str">
        <x:v>Длинная набережная для рассвета, прогулки, велосипеда и завтрака.</x:v>
      </x:c>
      <x:c r="G130" s="47" t="str">
        <x:v>Длинная набережная для рассвета, прогулки, велосипеда и завтрака.</x:v>
      </x:c>
      <x:c r="H130" s="47" t="str">
        <x:v>Длинная набережная для рассвета, прогулки, велосипеда и завтрака.</x:v>
      </x:c>
      <x:c r="I130" s="47" t="str">
        <x:v>Длинная набережная для рассвета, прогулки, велосипеда и завтрака.</x:v>
      </x:c>
      <x:c r="J130" s="4"/>
      <x:c r="K130" s="47" t="str">
        <x:v>Знаменитая скала «динозавр» и эффектный вид сверху.</x:v>
      </x:c>
      <x:c r="L130" s="47" t="str">
        <x:v>Знаменитая скала «динозавр» и эффектный вид сверху.</x:v>
      </x:c>
      <x:c r="M130" s="47" t="str">
        <x:v>Знаменитая скала «динозавр» и эффектный вид сверху.</x:v>
      </x:c>
      <x:c r="N130" s="47" t="str">
        <x:v>Знаменитая скала «динозавр» и эффектный вид сверху.</x:v>
      </x:c>
    </x:row>
    <x:row r="131" ht="18" customHeight="1">
      <x:c r="A131" s="48" t="str">
        <x:v>Амед  •  TA 4.3 / 5  •  Известное</x:v>
      </x:c>
      <x:c r="B131" s="48" t="str">
        <x:v>Амед  •  TA 4.3 / 5  •  Известное</x:v>
      </x:c>
      <x:c r="C131" s="48" t="str">
        <x:v>Амед  •  TA 4.3 / 5  •  Известное</x:v>
      </x:c>
      <x:c r="D131" s="48" t="str">
        <x:v>Амед  •  TA 4.3 / 5  •  Известное</x:v>
      </x:c>
      <x:c r="E131" s="4"/>
      <x:c r="F131" s="48" t="str">
        <x:v>Санур  •  TA 3.9 / 5  •  Известное</x:v>
      </x:c>
      <x:c r="G131" s="48" t="str">
        <x:v>Санур  •  TA 3.9 / 5  •  Известное</x:v>
      </x:c>
      <x:c r="H131" s="48" t="str">
        <x:v>Санур  •  TA 3.9 / 5  •  Известное</x:v>
      </x:c>
      <x:c r="I131" s="48" t="str">
        <x:v>Санур  •  TA 3.9 / 5  •  Известное</x:v>
      </x:c>
      <x:c r="J131" s="4"/>
      <x:c r="K131" s="48" t="str">
        <x:v>Нуса-Пенида  •  TA 4.6 / 5  •  Известное</x:v>
      </x:c>
      <x:c r="L131" s="48" t="str">
        <x:v>Нуса-Пенида  •  TA 4.6 / 5  •  Известное</x:v>
      </x:c>
      <x:c r="M131" s="48" t="str">
        <x:v>Нуса-Пенида  •  TA 4.6 / 5  •  Известное</x:v>
      </x:c>
      <x:c r="N131" s="48" t="str">
        <x:v>Нуса-Пенида  •  TA 4.6 / 5  •  Известное</x:v>
      </x:c>
    </x:row>
    <x:row r="132" ht="18" customHeight="1">
      <x:c r="A132" s="8" t="str">
        <x:f>HYPERLINK("#'Места'!A41","В список →")</x:f>
        <x:v>В список →</x:v>
      </x:c>
      <x:c r="B132" s="4"/>
      <x:c r="C132" s="8" t="str">
        <x:f>HYPERLINK("https://dynamic-media-cdn.tripadvisor.com/media/photo-o/0a/bc/43/17/pano-20160320-101233.jpg?h=400&amp;s=1&amp;w=700","Источник ↗")</x:f>
        <x:v>Источник ↗</x:v>
      </x:c>
      <x:c r="D132" s="4"/>
      <x:c r="E132" s="4"/>
      <x:c r="F132" s="8" t="str">
        <x:f>HYPERLINK("#'Места'!A15","В список →")</x:f>
        <x:v>В список →</x:v>
      </x:c>
      <x:c r="G132" s="4"/>
      <x:c r="H132" s="8" t="str">
        <x:f>HYPERLINK("https://dynamic-media-cdn.tripadvisor.com/media/photo-o/0e/2c/1c/04/sanur-beach.jpg?h=-1&amp;s=1&amp;w=700","Источник ↗")</x:f>
        <x:v>Источник ↗</x:v>
      </x:c>
      <x:c r="I132" s="4"/>
      <x:c r="J132" s="4"/>
      <x:c r="K132" s="8" t="str">
        <x:f>HYPERLINK("#'Места'!A31","В список →")</x:f>
        <x:v>В список →</x:v>
      </x:c>
      <x:c r="L132" s="4"/>
      <x:c r="M132" s="8" t="str">
        <x:f>HYPERLINK("https://dynamic-media-cdn.tripadvisor.com/media/photo-o/1a/ee/bb/7f/amazing.jpg?h=400&amp;s=1&amp;w=700","Источник ↗")</x:f>
        <x:v>Источник ↗</x:v>
      </x:c>
      <x:c r="N132" s="4"/>
    </x:row>
    <x:row r="133" ht="18" customHeight="1">
      <x:c r="A133" s="49" t="str">
        <x:v>28  Diamond Beach</x:v>
      </x:c>
      <x:c r="B133" s="49" t="str">
        <x:v>28  Diamond Beach</x:v>
      </x:c>
      <x:c r="C133" s="49" t="str">
        <x:v>28  Diamond Beach</x:v>
      </x:c>
      <x:c r="D133" s="49" t="str">
        <x:v>28  Diamond Beach</x:v>
      </x:c>
      <x:c r="E133" s="4"/>
      <x:c r="F133" s="49" t="str">
        <x:v>29  Atuh Beach</x:v>
      </x:c>
      <x:c r="G133" s="49" t="str">
        <x:v>29  Atuh Beach</x:v>
      </x:c>
      <x:c r="H133" s="49" t="str">
        <x:v>29  Atuh Beach</x:v>
      </x:c>
      <x:c r="I133" s="49" t="str">
        <x:v>29  Atuh Beach</x:v>
      </x:c>
      <x:c r="J133" s="4"/>
      <x:c r="K133" s="49" t="str">
        <x:v>30  Crystal Bay</x:v>
      </x:c>
      <x:c r="L133" s="49" t="str">
        <x:v>30  Crystal Bay</x:v>
      </x:c>
      <x:c r="M133" s="49" t="str">
        <x:v>30  Crystal Bay</x:v>
      </x:c>
      <x:c r="N133" s="49" t="str">
        <x:v>30  Crystal Bay</x:v>
      </x:c>
    </x:row>
    <x:row r="134" ht="18" customHeight="1">
      <x:c r="A134" s="49" t="str">
        <x:v>28  Diamond Beach</x:v>
      </x:c>
      <x:c r="B134" s="49" t="str">
        <x:v>28  Diamond Beach</x:v>
      </x:c>
      <x:c r="C134" s="49" t="str">
        <x:v>28  Diamond Beach</x:v>
      </x:c>
      <x:c r="D134" s="49" t="str">
        <x:v>28  Diamond Beach</x:v>
      </x:c>
      <x:c r="E134" s="4"/>
      <x:c r="F134" s="49" t="str">
        <x:v>29  Atuh Beach</x:v>
      </x:c>
      <x:c r="G134" s="49" t="str">
        <x:v>29  Atuh Beach</x:v>
      </x:c>
      <x:c r="H134" s="49" t="str">
        <x:v>29  Atuh Beach</x:v>
      </x:c>
      <x:c r="I134" s="49" t="str">
        <x:v>29  Atuh Beach</x:v>
      </x:c>
      <x:c r="J134" s="4"/>
      <x:c r="K134" s="49" t="str">
        <x:v>30  Crystal Bay</x:v>
      </x:c>
      <x:c r="L134" s="49" t="str">
        <x:v>30  Crystal Bay</x:v>
      </x:c>
      <x:c r="M134" s="49" t="str">
        <x:v>30  Crystal Bay</x:v>
      </x:c>
      <x:c r="N134" s="49" t="str">
        <x:v>30  Crystal Bay</x:v>
      </x:c>
    </x:row>
    <x:row r="135" ht="18" customHeight="1">
      <x:c r="A135" s="4"/>
      <x:c r="B135" s="4"/>
      <x:c r="C135" s="4"/>
      <x:c r="D135" s="4"/>
      <x:c r="E135" s="4"/>
      <x:c r="F135" s="4"/>
      <x:c r="G135" s="4"/>
      <x:c r="H135" s="4"/>
      <x:c r="I135" s="4"/>
      <x:c r="J135" s="4"/>
      <x:c r="K135" s="4"/>
      <x:c r="L135" s="4"/>
      <x:c r="M135" s="4"/>
      <x:c r="N135" s="4"/>
    </x:row>
    <x:row r="136" ht="18" customHeight="1">
      <x:c r="A136" s="4"/>
      <x:c r="B136" s="4"/>
      <x:c r="C136" s="4"/>
      <x:c r="D136" s="4"/>
      <x:c r="E136" s="4"/>
      <x:c r="F136" s="4"/>
      <x:c r="G136" s="4"/>
      <x:c r="H136" s="4"/>
      <x:c r="I136" s="4"/>
      <x:c r="J136" s="4"/>
      <x:c r="K136" s="4"/>
      <x:c r="L136" s="4"/>
      <x:c r="M136" s="4"/>
      <x:c r="N136" s="4"/>
    </x:row>
    <x:row r="137" ht="18" customHeight="1">
      <x:c r="A137" s="4"/>
      <x:c r="B137" s="4"/>
      <x:c r="C137" s="4"/>
      <x:c r="D137" s="4"/>
      <x:c r="E137" s="4"/>
      <x:c r="F137" s="4"/>
      <x:c r="G137" s="4"/>
      <x:c r="H137" s="4"/>
      <x:c r="I137" s="4"/>
      <x:c r="J137" s="4"/>
      <x:c r="K137" s="4"/>
      <x:c r="L137" s="4"/>
      <x:c r="M137" s="4"/>
      <x:c r="N137" s="4"/>
    </x:row>
    <x:row r="138" ht="18" customHeight="1">
      <x:c r="A138" s="4"/>
      <x:c r="B138" s="4"/>
      <x:c r="C138" s="4"/>
      <x:c r="D138" s="4"/>
      <x:c r="E138" s="4"/>
      <x:c r="F138" s="4"/>
      <x:c r="G138" s="4"/>
      <x:c r="H138" s="4"/>
      <x:c r="I138" s="4"/>
      <x:c r="J138" s="4"/>
      <x:c r="K138" s="4"/>
      <x:c r="L138" s="4"/>
      <x:c r="M138" s="4"/>
      <x:c r="N138" s="4"/>
    </x:row>
    <x:row r="139" ht="18" customHeight="1">
      <x:c r="A139" s="4"/>
      <x:c r="B139" s="4"/>
      <x:c r="C139" s="4"/>
      <x:c r="D139" s="4"/>
      <x:c r="E139" s="4"/>
      <x:c r="F139" s="4"/>
      <x:c r="G139" s="4"/>
      <x:c r="H139" s="4"/>
      <x:c r="I139" s="4"/>
      <x:c r="J139" s="4"/>
      <x:c r="K139" s="4"/>
      <x:c r="L139" s="4"/>
      <x:c r="M139" s="4"/>
      <x:c r="N139" s="4"/>
    </x:row>
    <x:row r="140" ht="18" customHeight="1">
      <x:c r="A140" s="4"/>
      <x:c r="B140" s="4"/>
      <x:c r="C140" s="4"/>
      <x:c r="D140" s="4"/>
      <x:c r="E140" s="4"/>
      <x:c r="F140" s="4"/>
      <x:c r="G140" s="4"/>
      <x:c r="H140" s="4"/>
      <x:c r="I140" s="4"/>
      <x:c r="J140" s="4"/>
      <x:c r="K140" s="4"/>
      <x:c r="L140" s="4"/>
      <x:c r="M140" s="4"/>
      <x:c r="N140" s="4"/>
    </x:row>
    <x:row r="141" ht="18" customHeight="1">
      <x:c r="A141" s="4"/>
      <x:c r="B141" s="4"/>
      <x:c r="C141" s="4"/>
      <x:c r="D141" s="4"/>
      <x:c r="E141" s="4"/>
      <x:c r="F141" s="4"/>
      <x:c r="G141" s="4"/>
      <x:c r="H141" s="4"/>
      <x:c r="I141" s="4"/>
      <x:c r="J141" s="4"/>
      <x:c r="K141" s="4"/>
      <x:c r="L141" s="4"/>
      <x:c r="M141" s="4"/>
      <x:c r="N141" s="4"/>
    </x:row>
    <x:row r="142" ht="18" customHeight="1">
      <x:c r="A142" s="4"/>
      <x:c r="B142" s="4"/>
      <x:c r="C142" s="4"/>
      <x:c r="D142" s="4"/>
      <x:c r="E142" s="4"/>
      <x:c r="F142" s="4"/>
      <x:c r="G142" s="4"/>
      <x:c r="H142" s="4"/>
      <x:c r="I142" s="4"/>
      <x:c r="J142" s="4"/>
      <x:c r="K142" s="4"/>
      <x:c r="L142" s="4"/>
      <x:c r="M142" s="4"/>
      <x:c r="N142" s="4"/>
    </x:row>
    <x:row r="143" ht="18" customHeight="1">
      <x:c r="A143" s="47" t="str">
        <x:v>Светлый пляж и острые скалы в бирюзовом море.</x:v>
      </x:c>
      <x:c r="B143" s="47" t="str">
        <x:v>Светлый пляж и острые скалы в бирюзовом море.</x:v>
      </x:c>
      <x:c r="C143" s="47" t="str">
        <x:v>Светлый пляж и острые скалы в бирюзовом море.</x:v>
      </x:c>
      <x:c r="D143" s="47" t="str">
        <x:v>Светлый пляж и острые скалы в бирюзовом море.</x:v>
      </x:c>
      <x:c r="E143" s="4"/>
      <x:c r="F143" s="47" t="str">
        <x:v>Бухта восточной Пениды с аркой-скалой и варунгами.</x:v>
      </x:c>
      <x:c r="G143" s="47" t="str">
        <x:v>Бухта восточной Пениды с аркой-скалой и варунгами.</x:v>
      </x:c>
      <x:c r="H143" s="47" t="str">
        <x:v>Бухта восточной Пениды с аркой-скалой и варунгами.</x:v>
      </x:c>
      <x:c r="I143" s="47" t="str">
        <x:v>Бухта восточной Пениды с аркой-скалой и варунгами.</x:v>
      </x:c>
      <x:c r="J143" s="4"/>
      <x:c r="K143" s="47" t="str">
        <x:v>Бухта с пальмами и удобным подъездом на западной Пениде.</x:v>
      </x:c>
      <x:c r="L143" s="47" t="str">
        <x:v>Бухта с пальмами и удобным подъездом на западной Пениде.</x:v>
      </x:c>
      <x:c r="M143" s="47" t="str">
        <x:v>Бухта с пальмами и удобным подъездом на западной Пениде.</x:v>
      </x:c>
      <x:c r="N143" s="47" t="str">
        <x:v>Бухта с пальмами и удобным подъездом на западной Пениде.</x:v>
      </x:c>
    </x:row>
    <x:row r="144" ht="18" customHeight="1">
      <x:c r="A144" s="47" t="str">
        <x:v>Светлый пляж и острые скалы в бирюзовом море.</x:v>
      </x:c>
      <x:c r="B144" s="47" t="str">
        <x:v>Светлый пляж и острые скалы в бирюзовом море.</x:v>
      </x:c>
      <x:c r="C144" s="47" t="str">
        <x:v>Светлый пляж и острые скалы в бирюзовом море.</x:v>
      </x:c>
      <x:c r="D144" s="47" t="str">
        <x:v>Светлый пляж и острые скалы в бирюзовом море.</x:v>
      </x:c>
      <x:c r="E144" s="4"/>
      <x:c r="F144" s="47" t="str">
        <x:v>Бухта восточной Пениды с аркой-скалой и варунгами.</x:v>
      </x:c>
      <x:c r="G144" s="47" t="str">
        <x:v>Бухта восточной Пениды с аркой-скалой и варунгами.</x:v>
      </x:c>
      <x:c r="H144" s="47" t="str">
        <x:v>Бухта восточной Пениды с аркой-скалой и варунгами.</x:v>
      </x:c>
      <x:c r="I144" s="47" t="str">
        <x:v>Бухта восточной Пениды с аркой-скалой и варунгами.</x:v>
      </x:c>
      <x:c r="J144" s="4"/>
      <x:c r="K144" s="47" t="str">
        <x:v>Бухта с пальмами и удобным подъездом на западной Пениде.</x:v>
      </x:c>
      <x:c r="L144" s="47" t="str">
        <x:v>Бухта с пальмами и удобным подъездом на западной Пениде.</x:v>
      </x:c>
      <x:c r="M144" s="47" t="str">
        <x:v>Бухта с пальмами и удобным подъездом на западной Пениде.</x:v>
      </x:c>
      <x:c r="N144" s="47" t="str">
        <x:v>Бухта с пальмами и удобным подъездом на западной Пениде.</x:v>
      </x:c>
    </x:row>
    <x:row r="145" ht="18" customHeight="1">
      <x:c r="A145" s="48" t="str">
        <x:v>Нуса-Пенида  •  TA 4.5 / 5  •  Известное</x:v>
      </x:c>
      <x:c r="B145" s="48" t="str">
        <x:v>Нуса-Пенида  •  TA 4.5 / 5  •  Известное</x:v>
      </x:c>
      <x:c r="C145" s="48" t="str">
        <x:v>Нуса-Пенида  •  TA 4.5 / 5  •  Известное</x:v>
      </x:c>
      <x:c r="D145" s="48" t="str">
        <x:v>Нуса-Пенида  •  TA 4.5 / 5  •  Известное</x:v>
      </x:c>
      <x:c r="E145" s="4"/>
      <x:c r="F145" s="48" t="str">
        <x:v>Нуса-Пенида  •  TA 4.6 / 5  •  Известное</x:v>
      </x:c>
      <x:c r="G145" s="48" t="str">
        <x:v>Нуса-Пенида  •  TA 4.6 / 5  •  Известное</x:v>
      </x:c>
      <x:c r="H145" s="48" t="str">
        <x:v>Нуса-Пенида  •  TA 4.6 / 5  •  Известное</x:v>
      </x:c>
      <x:c r="I145" s="48" t="str">
        <x:v>Нуса-Пенида  •  TA 4.6 / 5  •  Известное</x:v>
      </x:c>
      <x:c r="J145" s="4"/>
      <x:c r="K145" s="48" t="str">
        <x:v>Нуса-Пенида  •  TA 3.8 / 5  •  Известное</x:v>
      </x:c>
      <x:c r="L145" s="48" t="str">
        <x:v>Нуса-Пенида  •  TA 3.8 / 5  •  Известное</x:v>
      </x:c>
      <x:c r="M145" s="48" t="str">
        <x:v>Нуса-Пенида  •  TA 3.8 / 5  •  Известное</x:v>
      </x:c>
      <x:c r="N145" s="48" t="str">
        <x:v>Нуса-Пенида  •  TA 3.8 / 5  •  Известное</x:v>
      </x:c>
    </x:row>
    <x:row r="146" ht="18" customHeight="1">
      <x:c r="A146" s="8" t="str">
        <x:f>HYPERLINK("#'Места'!A69","В список →")</x:f>
        <x:v>В список →</x:v>
      </x:c>
      <x:c r="B146" s="4"/>
      <x:c r="C146" s="8" t="str">
        <x:f>HYPERLINK("https://dynamic-media-cdn.tripadvisor.com/media/photo-o/17/a7/d8/9e/pantai-diamond.jpg?h=400&amp;s=1&amp;w=700","Источник ↗")</x:f>
        <x:v>Источник ↗</x:v>
      </x:c>
      <x:c r="D146" s="4"/>
      <x:c r="E146" s="4"/>
      <x:c r="F146" s="8" t="str">
        <x:f>HYPERLINK("#'Места'!A56","В список →")</x:f>
        <x:v>В список →</x:v>
      </x:c>
      <x:c r="G146" s="4"/>
      <x:c r="H146" s="8" t="str">
        <x:f>HYPERLINK("https://dynamic-media-cdn.tripadvisor.com/media/photo-o/11/fb/a7/e1/dsc-0322-largejpg.jpg?h=400&amp;s=1&amp;w=700","Источник ↗")</x:f>
        <x:v>Источник ↗</x:v>
      </x:c>
      <x:c r="I146" s="4"/>
      <x:c r="J146" s="4"/>
      <x:c r="K146" s="8" t="str">
        <x:f>HYPERLINK("#'Места'!A42","В список →")</x:f>
        <x:v>В список →</x:v>
      </x:c>
      <x:c r="L146" s="4"/>
      <x:c r="M146" s="8" t="str">
        <x:f>HYPERLINK("https://dynamic-media-cdn.tripadvisor.com/media/photo-o/0f/52/0f/3c/img-4816-768x513-largejpg.jpg?h=400&amp;s=1&amp;w=700","Источник ↗")</x:f>
        <x:v>Источник ↗</x:v>
      </x:c>
      <x:c r="N146" s="4"/>
    </x:row>
    <x:row r="147" ht="18" customHeight="1">
      <x:c r="A147" s="50" t="str">
        <x:v>31  Tanah Lot</x:v>
      </x:c>
      <x:c r="B147" s="50" t="str">
        <x:v>31  Tanah Lot</x:v>
      </x:c>
      <x:c r="C147" s="50" t="str">
        <x:v>31  Tanah Lot</x:v>
      </x:c>
      <x:c r="D147" s="50" t="str">
        <x:v>31  Tanah Lot</x:v>
      </x:c>
      <x:c r="E147" s="4"/>
      <x:c r="F147" s="50" t="str">
        <x:v>32  Uluwatu Temple</x:v>
      </x:c>
      <x:c r="G147" s="50" t="str">
        <x:v>32  Uluwatu Temple</x:v>
      </x:c>
      <x:c r="H147" s="50" t="str">
        <x:v>32  Uluwatu Temple</x:v>
      </x:c>
      <x:c r="I147" s="50" t="str">
        <x:v>32  Uluwatu Temple</x:v>
      </x:c>
      <x:c r="J147" s="4"/>
      <x:c r="K147" s="50" t="str">
        <x:v>33  Tirta Empul</x:v>
      </x:c>
      <x:c r="L147" s="50" t="str">
        <x:v>33  Tirta Empul</x:v>
      </x:c>
      <x:c r="M147" s="50" t="str">
        <x:v>33  Tirta Empul</x:v>
      </x:c>
      <x:c r="N147" s="50" t="str">
        <x:v>33  Tirta Empul</x:v>
      </x:c>
    </x:row>
    <x:row r="148" ht="18" customHeight="1">
      <x:c r="A148" s="50" t="str">
        <x:v>31  Tanah Lot</x:v>
      </x:c>
      <x:c r="B148" s="50" t="str">
        <x:v>31  Tanah Lot</x:v>
      </x:c>
      <x:c r="C148" s="50" t="str">
        <x:v>31  Tanah Lot</x:v>
      </x:c>
      <x:c r="D148" s="50" t="str">
        <x:v>31  Tanah Lot</x:v>
      </x:c>
      <x:c r="E148" s="4"/>
      <x:c r="F148" s="50" t="str">
        <x:v>32  Uluwatu Temple</x:v>
      </x:c>
      <x:c r="G148" s="50" t="str">
        <x:v>32  Uluwatu Temple</x:v>
      </x:c>
      <x:c r="H148" s="50" t="str">
        <x:v>32  Uluwatu Temple</x:v>
      </x:c>
      <x:c r="I148" s="50" t="str">
        <x:v>32  Uluwatu Temple</x:v>
      </x:c>
      <x:c r="J148" s="4"/>
      <x:c r="K148" s="50" t="str">
        <x:v>33  Tirta Empul</x:v>
      </x:c>
      <x:c r="L148" s="50" t="str">
        <x:v>33  Tirta Empul</x:v>
      </x:c>
      <x:c r="M148" s="50" t="str">
        <x:v>33  Tirta Empul</x:v>
      </x:c>
      <x:c r="N148" s="50" t="str">
        <x:v>33  Tirta Empul</x:v>
      </x:c>
    </x:row>
    <x:row r="149" ht="18" customHeight="1">
      <x:c r="A149" s="4"/>
      <x:c r="B149" s="4"/>
      <x:c r="C149" s="4"/>
      <x:c r="D149" s="4"/>
      <x:c r="E149" s="4"/>
      <x:c r="F149" s="4"/>
      <x:c r="G149" s="4"/>
      <x:c r="H149" s="4"/>
      <x:c r="I149" s="4"/>
      <x:c r="J149" s="4"/>
      <x:c r="K149" s="4"/>
      <x:c r="L149" s="4"/>
      <x:c r="M149" s="4"/>
      <x:c r="N149" s="4"/>
    </x:row>
    <x:row r="150" ht="18" customHeight="1">
      <x:c r="A150" s="4"/>
      <x:c r="B150" s="4"/>
      <x:c r="C150" s="4"/>
      <x:c r="D150" s="4"/>
      <x:c r="E150" s="4"/>
      <x:c r="F150" s="4"/>
      <x:c r="G150" s="4"/>
      <x:c r="H150" s="4"/>
      <x:c r="I150" s="4"/>
      <x:c r="J150" s="4"/>
      <x:c r="K150" s="4"/>
      <x:c r="L150" s="4"/>
      <x:c r="M150" s="4"/>
      <x:c r="N150" s="4"/>
    </x:row>
    <x:row r="151" ht="18" customHeight="1">
      <x:c r="A151" s="4"/>
      <x:c r="B151" s="4"/>
      <x:c r="C151" s="4"/>
      <x:c r="D151" s="4"/>
      <x:c r="E151" s="4"/>
      <x:c r="F151" s="4"/>
      <x:c r="G151" s="4"/>
      <x:c r="H151" s="4"/>
      <x:c r="I151" s="4"/>
      <x:c r="J151" s="4"/>
      <x:c r="K151" s="4"/>
      <x:c r="L151" s="4"/>
      <x:c r="M151" s="4"/>
      <x:c r="N151" s="4"/>
    </x:row>
    <x:row r="152" ht="18" customHeight="1">
      <x:c r="A152" s="4"/>
      <x:c r="B152" s="4"/>
      <x:c r="C152" s="4"/>
      <x:c r="D152" s="4"/>
      <x:c r="E152" s="4"/>
      <x:c r="F152" s="4"/>
      <x:c r="G152" s="4"/>
      <x:c r="H152" s="4"/>
      <x:c r="I152" s="4"/>
      <x:c r="J152" s="4"/>
      <x:c r="K152" s="4"/>
      <x:c r="L152" s="4"/>
      <x:c r="M152" s="4"/>
      <x:c r="N152" s="4"/>
    </x:row>
    <x:row r="153" ht="18" customHeight="1">
      <x:c r="A153" s="4"/>
      <x:c r="B153" s="4"/>
      <x:c r="C153" s="4"/>
      <x:c r="D153" s="4"/>
      <x:c r="E153" s="4"/>
      <x:c r="F153" s="4"/>
      <x:c r="G153" s="4"/>
      <x:c r="H153" s="4"/>
      <x:c r="I153" s="4"/>
      <x:c r="J153" s="4"/>
      <x:c r="K153" s="4"/>
      <x:c r="L153" s="4"/>
      <x:c r="M153" s="4"/>
      <x:c r="N153" s="4"/>
    </x:row>
    <x:row r="154" ht="18" customHeight="1">
      <x:c r="A154" s="4"/>
      <x:c r="B154" s="4"/>
      <x:c r="C154" s="4"/>
      <x:c r="D154" s="4"/>
      <x:c r="E154" s="4"/>
      <x:c r="F154" s="4"/>
      <x:c r="G154" s="4"/>
      <x:c r="H154" s="4"/>
      <x:c r="I154" s="4"/>
      <x:c r="J154" s="4"/>
      <x:c r="K154" s="4"/>
      <x:c r="L154" s="4"/>
      <x:c r="M154" s="4"/>
      <x:c r="N154" s="4"/>
    </x:row>
    <x:row r="155" ht="18" customHeight="1">
      <x:c r="A155" s="4"/>
      <x:c r="B155" s="4"/>
      <x:c r="C155" s="4"/>
      <x:c r="D155" s="4"/>
      <x:c r="E155" s="4"/>
      <x:c r="F155" s="4"/>
      <x:c r="G155" s="4"/>
      <x:c r="H155" s="4"/>
      <x:c r="I155" s="4"/>
      <x:c r="J155" s="4"/>
      <x:c r="K155" s="4"/>
      <x:c r="L155" s="4"/>
      <x:c r="M155" s="4"/>
      <x:c r="N155" s="4"/>
    </x:row>
    <x:row r="156" ht="18" customHeight="1">
      <x:c r="A156" s="4"/>
      <x:c r="B156" s="4"/>
      <x:c r="C156" s="4"/>
      <x:c r="D156" s="4"/>
      <x:c r="E156" s="4"/>
      <x:c r="F156" s="4"/>
      <x:c r="G156" s="4"/>
      <x:c r="H156" s="4"/>
      <x:c r="I156" s="4"/>
      <x:c r="J156" s="4"/>
      <x:c r="K156" s="4"/>
      <x:c r="L156" s="4"/>
      <x:c r="M156" s="4"/>
      <x:c r="N156" s="4"/>
    </x:row>
    <x:row r="157" ht="18" customHeight="1">
      <x:c r="A157" s="47" t="str">
        <x:v>Храм на морской скале и закатные панорамы.</x:v>
      </x:c>
      <x:c r="B157" s="47" t="str">
        <x:v>Храм на морской скале и закатные панорамы.</x:v>
      </x:c>
      <x:c r="C157" s="47" t="str">
        <x:v>Храм на морской скале и закатные панорамы.</x:v>
      </x:c>
      <x:c r="D157" s="47" t="str">
        <x:v>Храм на морской скале и закатные панорамы.</x:v>
      </x:c>
      <x:c r="E157" s="4"/>
      <x:c r="F157" s="47" t="str">
        <x:v>Храм на высоком обрыве; рядом вечерний танец кечак.</x:v>
      </x:c>
      <x:c r="G157" s="47" t="str">
        <x:v>Храм на высоком обрыве; рядом вечерний танец кечак.</x:v>
      </x:c>
      <x:c r="H157" s="47" t="str">
        <x:v>Храм на высоком обрыве; рядом вечерний танец кечак.</x:v>
      </x:c>
      <x:c r="I157" s="47" t="str">
        <x:v>Храм на высоком обрыве; рядом вечерний танец кечак.</x:v>
      </x:c>
      <x:c r="J157" s="4"/>
      <x:c r="K157" s="47" t="str">
        <x:v>Священные источники и знакомство с ритуалом очищения.</x:v>
      </x:c>
      <x:c r="L157" s="47" t="str">
        <x:v>Священные источники и знакомство с ритуалом очищения.</x:v>
      </x:c>
      <x:c r="M157" s="47" t="str">
        <x:v>Священные источники и знакомство с ритуалом очищения.</x:v>
      </x:c>
      <x:c r="N157" s="47" t="str">
        <x:v>Священные источники и знакомство с ритуалом очищения.</x:v>
      </x:c>
    </x:row>
    <x:row r="158" ht="18" customHeight="1">
      <x:c r="A158" s="47" t="str">
        <x:v>Храм на морской скале и закатные панорамы.</x:v>
      </x:c>
      <x:c r="B158" s="47" t="str">
        <x:v>Храм на морской скале и закатные панорамы.</x:v>
      </x:c>
      <x:c r="C158" s="47" t="str">
        <x:v>Храм на морской скале и закатные панорамы.</x:v>
      </x:c>
      <x:c r="D158" s="47" t="str">
        <x:v>Храм на морской скале и закатные панорамы.</x:v>
      </x:c>
      <x:c r="E158" s="4"/>
      <x:c r="F158" s="47" t="str">
        <x:v>Храм на высоком обрыве; рядом вечерний танец кечак.</x:v>
      </x:c>
      <x:c r="G158" s="47" t="str">
        <x:v>Храм на высоком обрыве; рядом вечерний танец кечак.</x:v>
      </x:c>
      <x:c r="H158" s="47" t="str">
        <x:v>Храм на высоком обрыве; рядом вечерний танец кечак.</x:v>
      </x:c>
      <x:c r="I158" s="47" t="str">
        <x:v>Храм на высоком обрыве; рядом вечерний танец кечак.</x:v>
      </x:c>
      <x:c r="J158" s="4"/>
      <x:c r="K158" s="47" t="str">
        <x:v>Священные источники и знакомство с ритуалом очищения.</x:v>
      </x:c>
      <x:c r="L158" s="47" t="str">
        <x:v>Священные источники и знакомство с ритуалом очищения.</x:v>
      </x:c>
      <x:c r="M158" s="47" t="str">
        <x:v>Священные источники и знакомство с ритуалом очищения.</x:v>
      </x:c>
      <x:c r="N158" s="47" t="str">
        <x:v>Священные источники и знакомство с ритуалом очищения.</x:v>
      </x:c>
    </x:row>
    <x:row r="159" ht="18" customHeight="1">
      <x:c r="A159" s="48" t="str">
        <x:v>Табанан  •  TA 4.2 / 5  •  Известное</x:v>
      </x:c>
      <x:c r="B159" s="48" t="str">
        <x:v>Табанан  •  TA 4.2 / 5  •  Известное</x:v>
      </x:c>
      <x:c r="C159" s="48" t="str">
        <x:v>Табанан  •  TA 4.2 / 5  •  Известное</x:v>
      </x:c>
      <x:c r="D159" s="48" t="str">
        <x:v>Табанан  •  TA 4.2 / 5  •  Известное</x:v>
      </x:c>
      <x:c r="E159" s="4"/>
      <x:c r="F159" s="48" t="str">
        <x:v>Букит  •  TA 4.2 / 5  •  Известное</x:v>
      </x:c>
      <x:c r="G159" s="48" t="str">
        <x:v>Букит  •  TA 4.2 / 5  •  Известное</x:v>
      </x:c>
      <x:c r="H159" s="48" t="str">
        <x:v>Букит  •  TA 4.2 / 5  •  Известное</x:v>
      </x:c>
      <x:c r="I159" s="48" t="str">
        <x:v>Букит  •  TA 4.2 / 5  •  Известное</x:v>
      </x:c>
      <x:c r="J159" s="4"/>
      <x:c r="K159" s="48" t="str">
        <x:v>Тампаксиринг  •  TA 4.4 / 5  •  Известное</x:v>
      </x:c>
      <x:c r="L159" s="48" t="str">
        <x:v>Тампаксиринг  •  TA 4.4 / 5  •  Известное</x:v>
      </x:c>
      <x:c r="M159" s="48" t="str">
        <x:v>Тампаксиринг  •  TA 4.4 / 5  •  Известное</x:v>
      </x:c>
      <x:c r="N159" s="48" t="str">
        <x:v>Тампаксиринг  •  TA 4.4 / 5  •  Известное</x:v>
      </x:c>
    </x:row>
    <x:row r="160" ht="18" customHeight="1">
      <x:c r="A160" s="8" t="str">
        <x:f>HYPERLINK("#'Места'!A13","В список →")</x:f>
        <x:v>В список →</x:v>
      </x:c>
      <x:c r="B160" s="4"/>
      <x:c r="C160" s="8" t="str">
        <x:f>HYPERLINK("https://dynamic-media-cdn.tripadvisor.com/media/photo-o/1b/4c/37/44/photo8jpg.jpg?h=400&amp;s=1&amp;w=700","Источник ↗")</x:f>
        <x:v>Источник ↗</x:v>
      </x:c>
      <x:c r="D160" s="4"/>
      <x:c r="E160" s="4"/>
      <x:c r="F160" s="8" t="str">
        <x:f>HYPERLINK("#'Места'!A14","В список →")</x:f>
        <x:v>В список →</x:v>
      </x:c>
      <x:c r="G160" s="4"/>
      <x:c r="H160" s="8" t="str">
        <x:f>HYPERLINK("https://dynamic-media-cdn.tripadvisor.com/media/photo-o/05/52/bf/2f/candi-uluwatu.jpg?h=-1&amp;s=1&amp;w=700","Источник ↗")</x:f>
        <x:v>Источник ↗</x:v>
      </x:c>
      <x:c r="I160" s="4"/>
      <x:c r="J160" s="4"/>
      <x:c r="K160" s="8" t="str">
        <x:f>HYPERLINK("#'Места'!A22","В список →")</x:f>
        <x:v>В список →</x:v>
      </x:c>
      <x:c r="L160" s="4"/>
      <x:c r="M160" s="8" t="str">
        <x:f>HYPERLINK("https://dynamic-media-cdn.tripadvisor.com/media/photo-o/1b/2d/5c/55/bath-time.jpg?h=400&amp;s=1&amp;w=700","Источник ↗")</x:f>
        <x:v>Источник ↗</x:v>
      </x:c>
      <x:c r="N160" s="4"/>
    </x:row>
    <x:row r="161" ht="18" customHeight="1">
      <x:c r="A161" s="50" t="str">
        <x:v>34  Ulun Danu Beratan</x:v>
      </x:c>
      <x:c r="B161" s="50" t="str">
        <x:v>34  Ulun Danu Beratan</x:v>
      </x:c>
      <x:c r="C161" s="50" t="str">
        <x:v>34  Ulun Danu Beratan</x:v>
      </x:c>
      <x:c r="D161" s="50" t="str">
        <x:v>34  Ulun Danu Beratan</x:v>
      </x:c>
      <x:c r="E161" s="4"/>
      <x:c r="F161" s="50" t="str">
        <x:v>35  Besakih Temple</x:v>
      </x:c>
      <x:c r="G161" s="50" t="str">
        <x:v>35  Besakih Temple</x:v>
      </x:c>
      <x:c r="H161" s="50" t="str">
        <x:v>35  Besakih Temple</x:v>
      </x:c>
      <x:c r="I161" s="50" t="str">
        <x:v>35  Besakih Temple</x:v>
      </x:c>
      <x:c r="J161" s="4"/>
      <x:c r="K161" s="50" t="str">
        <x:v>36  Gunung Kawi Tampaksiring</x:v>
      </x:c>
      <x:c r="L161" s="50" t="str">
        <x:v>36  Gunung Kawi Tampaksiring</x:v>
      </x:c>
      <x:c r="M161" s="50" t="str">
        <x:v>36  Gunung Kawi Tampaksiring</x:v>
      </x:c>
      <x:c r="N161" s="50" t="str">
        <x:v>36  Gunung Kawi Tampaksiring</x:v>
      </x:c>
    </x:row>
    <x:row r="162" ht="18" customHeight="1">
      <x:c r="A162" s="50" t="str">
        <x:v>34  Ulun Danu Beratan</x:v>
      </x:c>
      <x:c r="B162" s="50" t="str">
        <x:v>34  Ulun Danu Beratan</x:v>
      </x:c>
      <x:c r="C162" s="50" t="str">
        <x:v>34  Ulun Danu Beratan</x:v>
      </x:c>
      <x:c r="D162" s="50" t="str">
        <x:v>34  Ulun Danu Beratan</x:v>
      </x:c>
      <x:c r="E162" s="4"/>
      <x:c r="F162" s="50" t="str">
        <x:v>35  Besakih Temple</x:v>
      </x:c>
      <x:c r="G162" s="50" t="str">
        <x:v>35  Besakih Temple</x:v>
      </x:c>
      <x:c r="H162" s="50" t="str">
        <x:v>35  Besakih Temple</x:v>
      </x:c>
      <x:c r="I162" s="50" t="str">
        <x:v>35  Besakih Temple</x:v>
      </x:c>
      <x:c r="J162" s="4"/>
      <x:c r="K162" s="50" t="str">
        <x:v>36  Gunung Kawi Tampaksiring</x:v>
      </x:c>
      <x:c r="L162" s="50" t="str">
        <x:v>36  Gunung Kawi Tampaksiring</x:v>
      </x:c>
      <x:c r="M162" s="50" t="str">
        <x:v>36  Gunung Kawi Tampaksiring</x:v>
      </x:c>
      <x:c r="N162" s="50" t="str">
        <x:v>36  Gunung Kawi Tampaksiring</x:v>
      </x:c>
    </x:row>
    <x:row r="163" ht="18" customHeight="1">
      <x:c r="A163" s="4"/>
      <x:c r="B163" s="4"/>
      <x:c r="C163" s="4"/>
      <x:c r="D163" s="4"/>
      <x:c r="E163" s="4"/>
      <x:c r="F163" s="4"/>
      <x:c r="G163" s="4"/>
      <x:c r="H163" s="4"/>
      <x:c r="I163" s="4"/>
      <x:c r="J163" s="4"/>
      <x:c r="K163" s="4"/>
      <x:c r="L163" s="4"/>
      <x:c r="M163" s="4"/>
      <x:c r="N163" s="4"/>
    </x:row>
    <x:row r="164" ht="18" customHeight="1">
      <x:c r="A164" s="4"/>
      <x:c r="B164" s="4"/>
      <x:c r="C164" s="4"/>
      <x:c r="D164" s="4"/>
      <x:c r="E164" s="4"/>
      <x:c r="F164" s="4"/>
      <x:c r="G164" s="4"/>
      <x:c r="H164" s="4"/>
      <x:c r="I164" s="4"/>
      <x:c r="J164" s="4"/>
      <x:c r="K164" s="4"/>
      <x:c r="L164" s="4"/>
      <x:c r="M164" s="4"/>
      <x:c r="N164" s="4"/>
    </x:row>
    <x:row r="165" ht="18" customHeight="1">
      <x:c r="A165" s="4"/>
      <x:c r="B165" s="4"/>
      <x:c r="C165" s="4"/>
      <x:c r="D165" s="4"/>
      <x:c r="E165" s="4"/>
      <x:c r="F165" s="4"/>
      <x:c r="G165" s="4"/>
      <x:c r="H165" s="4"/>
      <x:c r="I165" s="4"/>
      <x:c r="J165" s="4"/>
      <x:c r="K165" s="4"/>
      <x:c r="L165" s="4"/>
      <x:c r="M165" s="4"/>
      <x:c r="N165" s="4"/>
    </x:row>
    <x:row r="166" ht="18" customHeight="1">
      <x:c r="A166" s="4"/>
      <x:c r="B166" s="4"/>
      <x:c r="C166" s="4"/>
      <x:c r="D166" s="4"/>
      <x:c r="E166" s="4"/>
      <x:c r="F166" s="4"/>
      <x:c r="G166" s="4"/>
      <x:c r="H166" s="4"/>
      <x:c r="I166" s="4"/>
      <x:c r="J166" s="4"/>
      <x:c r="K166" s="4"/>
      <x:c r="L166" s="4"/>
      <x:c r="M166" s="4"/>
      <x:c r="N166" s="4"/>
    </x:row>
    <x:row r="167" ht="18" customHeight="1">
      <x:c r="A167" s="4"/>
      <x:c r="B167" s="4"/>
      <x:c r="C167" s="4"/>
      <x:c r="D167" s="4"/>
      <x:c r="E167" s="4"/>
      <x:c r="F167" s="4"/>
      <x:c r="G167" s="4"/>
      <x:c r="H167" s="4"/>
      <x:c r="I167" s="4"/>
      <x:c r="J167" s="4"/>
      <x:c r="K167" s="4"/>
      <x:c r="L167" s="4"/>
      <x:c r="M167" s="4"/>
      <x:c r="N167" s="4"/>
    </x:row>
    <x:row r="168" ht="18" customHeight="1">
      <x:c r="A168" s="4"/>
      <x:c r="B168" s="4"/>
      <x:c r="C168" s="4"/>
      <x:c r="D168" s="4"/>
      <x:c r="E168" s="4"/>
      <x:c r="F168" s="4"/>
      <x:c r="G168" s="4"/>
      <x:c r="H168" s="4"/>
      <x:c r="I168" s="4"/>
      <x:c r="J168" s="4"/>
      <x:c r="K168" s="4"/>
      <x:c r="L168" s="4"/>
      <x:c r="M168" s="4"/>
      <x:c r="N168" s="4"/>
    </x:row>
    <x:row r="169" ht="18" customHeight="1">
      <x:c r="A169" s="4"/>
      <x:c r="B169" s="4"/>
      <x:c r="C169" s="4"/>
      <x:c r="D169" s="4"/>
      <x:c r="E169" s="4"/>
      <x:c r="F169" s="4"/>
      <x:c r="G169" s="4"/>
      <x:c r="H169" s="4"/>
      <x:c r="I169" s="4"/>
      <x:c r="J169" s="4"/>
      <x:c r="K169" s="4"/>
      <x:c r="L169" s="4"/>
      <x:c r="M169" s="4"/>
      <x:c r="N169" s="4"/>
    </x:row>
    <x:row r="170" ht="18" customHeight="1">
      <x:c r="A170" s="4"/>
      <x:c r="B170" s="4"/>
      <x:c r="C170" s="4"/>
      <x:c r="D170" s="4"/>
      <x:c r="E170" s="4"/>
      <x:c r="F170" s="4"/>
      <x:c r="G170" s="4"/>
      <x:c r="H170" s="4"/>
      <x:c r="I170" s="4"/>
      <x:c r="J170" s="4"/>
      <x:c r="K170" s="4"/>
      <x:c r="L170" s="4"/>
      <x:c r="M170" s="4"/>
      <x:c r="N170" s="4"/>
    </x:row>
    <x:row r="171" ht="18" customHeight="1">
      <x:c r="A171" s="47" t="str">
        <x:v>Многоярусный храм на озере Бератан в горной прохладе.</x:v>
      </x:c>
      <x:c r="B171" s="47" t="str">
        <x:v>Многоярусный храм на озере Бератан в горной прохладе.</x:v>
      </x:c>
      <x:c r="C171" s="47" t="str">
        <x:v>Многоярусный храм на озере Бератан в горной прохладе.</x:v>
      </x:c>
      <x:c r="D171" s="47" t="str">
        <x:v>Многоярусный храм на озере Бератан в горной прохладе.</x:v>
      </x:c>
      <x:c r="E171" s="4"/>
      <x:c r="F171" s="47" t="str">
        <x:v>Крупный храмовый комплекс на склонах Агунга.</x:v>
      </x:c>
      <x:c r="G171" s="47" t="str">
        <x:v>Крупный храмовый комплекс на склонах Агунга.</x:v>
      </x:c>
      <x:c r="H171" s="47" t="str">
        <x:v>Крупный храмовый комплекс на склонах Агунга.</x:v>
      </x:c>
      <x:c r="I171" s="47" t="str">
        <x:v>Крупный храмовый комплекс на склонах Агунга.</x:v>
      </x:c>
      <x:c r="J171" s="4"/>
      <x:c r="K171" s="47" t="str">
        <x:v>Высеченные в скале святилища среди рисовых полей и долины реки.</x:v>
      </x:c>
      <x:c r="L171" s="47" t="str">
        <x:v>Высеченные в скале святилища среди рисовых полей и долины реки.</x:v>
      </x:c>
      <x:c r="M171" s="47" t="str">
        <x:v>Высеченные в скале святилища среди рисовых полей и долины реки.</x:v>
      </x:c>
      <x:c r="N171" s="47" t="str">
        <x:v>Высеченные в скале святилища среди рисовых полей и долины реки.</x:v>
      </x:c>
    </x:row>
    <x:row r="172" ht="18" customHeight="1">
      <x:c r="A172" s="47" t="str">
        <x:v>Многоярусный храм на озере Бератан в горной прохладе.</x:v>
      </x:c>
      <x:c r="B172" s="47" t="str">
        <x:v>Многоярусный храм на озере Бератан в горной прохладе.</x:v>
      </x:c>
      <x:c r="C172" s="47" t="str">
        <x:v>Многоярусный храм на озере Бератан в горной прохладе.</x:v>
      </x:c>
      <x:c r="D172" s="47" t="str">
        <x:v>Многоярусный храм на озере Бератан в горной прохладе.</x:v>
      </x:c>
      <x:c r="E172" s="4"/>
      <x:c r="F172" s="47" t="str">
        <x:v>Крупный храмовый комплекс на склонах Агунга.</x:v>
      </x:c>
      <x:c r="G172" s="47" t="str">
        <x:v>Крупный храмовый комплекс на склонах Агунга.</x:v>
      </x:c>
      <x:c r="H172" s="47" t="str">
        <x:v>Крупный храмовый комплекс на склонах Агунга.</x:v>
      </x:c>
      <x:c r="I172" s="47" t="str">
        <x:v>Крупный храмовый комплекс на склонах Агунга.</x:v>
      </x:c>
      <x:c r="J172" s="4"/>
      <x:c r="K172" s="47" t="str">
        <x:v>Высеченные в скале святилища среди рисовых полей и долины реки.</x:v>
      </x:c>
      <x:c r="L172" s="47" t="str">
        <x:v>Высеченные в скале святилища среди рисовых полей и долины реки.</x:v>
      </x:c>
      <x:c r="M172" s="47" t="str">
        <x:v>Высеченные в скале святилища среди рисовых полей и долины реки.</x:v>
      </x:c>
      <x:c r="N172" s="47" t="str">
        <x:v>Высеченные в скале святилища среди рисовых полей и долины реки.</x:v>
      </x:c>
    </x:row>
    <x:row r="173" ht="18" customHeight="1">
      <x:c r="A173" s="48" t="str">
        <x:v>Бедугул  •  TA 4.3 / 5  •  Известное</x:v>
      </x:c>
      <x:c r="B173" s="48" t="str">
        <x:v>Бедугул  •  TA 4.3 / 5  •  Известное</x:v>
      </x:c>
      <x:c r="C173" s="48" t="str">
        <x:v>Бедугул  •  TA 4.3 / 5  •  Известное</x:v>
      </x:c>
      <x:c r="D173" s="48" t="str">
        <x:v>Бедугул  •  TA 4.3 / 5  •  Известное</x:v>
      </x:c>
      <x:c r="E173" s="4"/>
      <x:c r="F173" s="48" t="str">
        <x:v>Карангасем  •  TA 3.3 / 5  •  Известное</x:v>
      </x:c>
      <x:c r="G173" s="48" t="str">
        <x:v>Карангасем  •  TA 3.3 / 5  •  Известное</x:v>
      </x:c>
      <x:c r="H173" s="48" t="str">
        <x:v>Карангасем  •  TA 3.3 / 5  •  Известное</x:v>
      </x:c>
      <x:c r="I173" s="48" t="str">
        <x:v>Карангасем  •  TA 3.3 / 5  •  Известное</x:v>
      </x:c>
      <x:c r="J173" s="4"/>
      <x:c r="K173" s="48" t="str">
        <x:v>Тампаксиринг  •  TA 4.5 / 5  •  Неочевидное</x:v>
      </x:c>
      <x:c r="L173" s="48" t="str">
        <x:v>Тампаксиринг  •  TA 4.5 / 5  •  Неочевидное</x:v>
      </x:c>
      <x:c r="M173" s="48" t="str">
        <x:v>Тампаксиринг  •  TA 4.5 / 5  •  Неочевидное</x:v>
      </x:c>
      <x:c r="N173" s="48" t="str">
        <x:v>Тампаксиринг  •  TA 4.5 / 5  •  Неочевидное</x:v>
      </x:c>
    </x:row>
    <x:row r="174" ht="18" customHeight="1">
      <x:c r="A174" s="8" t="str">
        <x:f>HYPERLINK("#'Места'!A19","В список →")</x:f>
        <x:v>В список →</x:v>
      </x:c>
      <x:c r="B174" s="4"/>
      <x:c r="C174" s="8" t="str">
        <x:f>HYPERLINK("https://dynamic-media-cdn.tripadvisor.com/media/photo-o/16/f4/95/4d/magicke-misto.jpg?h=400&amp;s=1&amp;w=700","Источник ↗")</x:f>
        <x:v>Источник ↗</x:v>
      </x:c>
      <x:c r="D174" s="4"/>
      <x:c r="E174" s="4"/>
      <x:c r="F174" s="8" t="str">
        <x:f>HYPERLINK("#'Места'!A27","В список →")</x:f>
        <x:v>В список →</x:v>
      </x:c>
      <x:c r="G174" s="4"/>
      <x:c r="H174" s="8" t="str">
        <x:f>HYPERLINK("https://dynamic-media-cdn.tripadvisor.com/media/photo-o/0e/6c/1a/cc/top-temple-besakih.jpg?h=400&amp;s=1&amp;w=700","Источник ↗")</x:f>
        <x:v>Источник ↗</x:v>
      </x:c>
      <x:c r="I174" s="4"/>
      <x:c r="J174" s="4"/>
      <x:c r="K174" s="8" t="str">
        <x:f>HYPERLINK("#'Места'!A37","В список →")</x:f>
        <x:v>В список →</x:v>
      </x:c>
      <x:c r="L174" s="4"/>
      <x:c r="M174" s="8" t="str">
        <x:f>HYPERLINK("https://dynamic-media-cdn.tripadvisor.com/media/photo-o/06/c4/ab/20/gunung-kawi.jpg?h=400&amp;s=1&amp;w=700","Источник ↗")</x:f>
        <x:v>Источник ↗</x:v>
      </x:c>
      <x:c r="N174" s="4"/>
    </x:row>
    <x:row r="175" ht="18" customHeight="1">
      <x:c r="A175" s="50" t="str">
        <x:v>37  Goa Gajah</x:v>
      </x:c>
      <x:c r="B175" s="50" t="str">
        <x:v>37  Goa Gajah</x:v>
      </x:c>
      <x:c r="C175" s="50" t="str">
        <x:v>37  Goa Gajah</x:v>
      </x:c>
      <x:c r="D175" s="50" t="str">
        <x:v>37  Goa Gajah</x:v>
      </x:c>
      <x:c r="E175" s="4"/>
      <x:c r="F175" s="50" t="str">
        <x:v>38  Taman Ayun</x:v>
      </x:c>
      <x:c r="G175" s="50" t="str">
        <x:v>38  Taman Ayun</x:v>
      </x:c>
      <x:c r="H175" s="50" t="str">
        <x:v>38  Taman Ayun</x:v>
      </x:c>
      <x:c r="I175" s="50" t="str">
        <x:v>38  Taman Ayun</x:v>
      </x:c>
      <x:c r="J175" s="4"/>
      <x:c r="K175" s="50" t="str">
        <x:v>39  Tirta Gangga</x:v>
      </x:c>
      <x:c r="L175" s="50" t="str">
        <x:v>39  Tirta Gangga</x:v>
      </x:c>
      <x:c r="M175" s="50" t="str">
        <x:v>39  Tirta Gangga</x:v>
      </x:c>
      <x:c r="N175" s="50" t="str">
        <x:v>39  Tirta Gangga</x:v>
      </x:c>
    </x:row>
    <x:row r="176" ht="18" customHeight="1">
      <x:c r="A176" s="50" t="str">
        <x:v>37  Goa Gajah</x:v>
      </x:c>
      <x:c r="B176" s="50" t="str">
        <x:v>37  Goa Gajah</x:v>
      </x:c>
      <x:c r="C176" s="50" t="str">
        <x:v>37  Goa Gajah</x:v>
      </x:c>
      <x:c r="D176" s="50" t="str">
        <x:v>37  Goa Gajah</x:v>
      </x:c>
      <x:c r="E176" s="4"/>
      <x:c r="F176" s="50" t="str">
        <x:v>38  Taman Ayun</x:v>
      </x:c>
      <x:c r="G176" s="50" t="str">
        <x:v>38  Taman Ayun</x:v>
      </x:c>
      <x:c r="H176" s="50" t="str">
        <x:v>38  Taman Ayun</x:v>
      </x:c>
      <x:c r="I176" s="50" t="str">
        <x:v>38  Taman Ayun</x:v>
      </x:c>
      <x:c r="J176" s="4"/>
      <x:c r="K176" s="50" t="str">
        <x:v>39  Tirta Gangga</x:v>
      </x:c>
      <x:c r="L176" s="50" t="str">
        <x:v>39  Tirta Gangga</x:v>
      </x:c>
      <x:c r="M176" s="50" t="str">
        <x:v>39  Tirta Gangga</x:v>
      </x:c>
      <x:c r="N176" s="50" t="str">
        <x:v>39  Tirta Gangga</x:v>
      </x:c>
    </x:row>
    <x:row r="177" ht="18" customHeight="1">
      <x:c r="A177" s="4"/>
      <x:c r="B177" s="4"/>
      <x:c r="C177" s="4"/>
      <x:c r="D177" s="4"/>
      <x:c r="E177" s="4"/>
      <x:c r="F177" s="4"/>
      <x:c r="G177" s="4"/>
      <x:c r="H177" s="4"/>
      <x:c r="I177" s="4"/>
      <x:c r="J177" s="4"/>
      <x:c r="K177" s="4"/>
      <x:c r="L177" s="4"/>
      <x:c r="M177" s="4"/>
      <x:c r="N177" s="4"/>
    </x:row>
    <x:row r="178" ht="18" customHeight="1">
      <x:c r="A178" s="4"/>
      <x:c r="B178" s="4"/>
      <x:c r="C178" s="4"/>
      <x:c r="D178" s="4"/>
      <x:c r="E178" s="4"/>
      <x:c r="F178" s="4"/>
      <x:c r="G178" s="4"/>
      <x:c r="H178" s="4"/>
      <x:c r="I178" s="4"/>
      <x:c r="J178" s="4"/>
      <x:c r="K178" s="4"/>
      <x:c r="L178" s="4"/>
      <x:c r="M178" s="4"/>
      <x:c r="N178" s="4"/>
    </x:row>
    <x:row r="179" ht="18" customHeight="1">
      <x:c r="A179" s="4"/>
      <x:c r="B179" s="4"/>
      <x:c r="C179" s="4"/>
      <x:c r="D179" s="4"/>
      <x:c r="E179" s="4"/>
      <x:c r="F179" s="4"/>
      <x:c r="G179" s="4"/>
      <x:c r="H179" s="4"/>
      <x:c r="I179" s="4"/>
      <x:c r="J179" s="4"/>
      <x:c r="K179" s="4"/>
      <x:c r="L179" s="4"/>
      <x:c r="M179" s="4"/>
      <x:c r="N179" s="4"/>
    </x:row>
    <x:row r="180" ht="18" customHeight="1">
      <x:c r="A180" s="4"/>
      <x:c r="B180" s="4"/>
      <x:c r="C180" s="4"/>
      <x:c r="D180" s="4"/>
      <x:c r="E180" s="4"/>
      <x:c r="F180" s="4"/>
      <x:c r="G180" s="4"/>
      <x:c r="H180" s="4"/>
      <x:c r="I180" s="4"/>
      <x:c r="J180" s="4"/>
      <x:c r="K180" s="4"/>
      <x:c r="L180" s="4"/>
      <x:c r="M180" s="4"/>
      <x:c r="N180" s="4"/>
    </x:row>
    <x:row r="181" ht="18" customHeight="1">
      <x:c r="A181" s="4"/>
      <x:c r="B181" s="4"/>
      <x:c r="C181" s="4"/>
      <x:c r="D181" s="4"/>
      <x:c r="E181" s="4"/>
      <x:c r="F181" s="4"/>
      <x:c r="G181" s="4"/>
      <x:c r="H181" s="4"/>
      <x:c r="I181" s="4"/>
      <x:c r="J181" s="4"/>
      <x:c r="K181" s="4"/>
      <x:c r="L181" s="4"/>
      <x:c r="M181" s="4"/>
      <x:c r="N181" s="4"/>
    </x:row>
    <x:row r="182" ht="18" customHeight="1">
      <x:c r="A182" s="4"/>
      <x:c r="B182" s="4"/>
      <x:c r="C182" s="4"/>
      <x:c r="D182" s="4"/>
      <x:c r="E182" s="4"/>
      <x:c r="F182" s="4"/>
      <x:c r="G182" s="4"/>
      <x:c r="H182" s="4"/>
      <x:c r="I182" s="4"/>
      <x:c r="J182" s="4"/>
      <x:c r="K182" s="4"/>
      <x:c r="L182" s="4"/>
      <x:c r="M182" s="4"/>
      <x:c r="N182" s="4"/>
    </x:row>
    <x:row r="183" ht="18" customHeight="1">
      <x:c r="A183" s="4"/>
      <x:c r="B183" s="4"/>
      <x:c r="C183" s="4"/>
      <x:c r="D183" s="4"/>
      <x:c r="E183" s="4"/>
      <x:c r="F183" s="4"/>
      <x:c r="G183" s="4"/>
      <x:c r="H183" s="4"/>
      <x:c r="I183" s="4"/>
      <x:c r="J183" s="4"/>
      <x:c r="K183" s="4"/>
      <x:c r="L183" s="4"/>
      <x:c r="M183" s="4"/>
      <x:c r="N183" s="4"/>
    </x:row>
    <x:row r="184" ht="18" customHeight="1">
      <x:c r="A184" s="4"/>
      <x:c r="B184" s="4"/>
      <x:c r="C184" s="4"/>
      <x:c r="D184" s="4"/>
      <x:c r="E184" s="4"/>
      <x:c r="F184" s="4"/>
      <x:c r="G184" s="4"/>
      <x:c r="H184" s="4"/>
      <x:c r="I184" s="4"/>
      <x:c r="J184" s="4"/>
      <x:c r="K184" s="4"/>
      <x:c r="L184" s="4"/>
      <x:c r="M184" s="4"/>
      <x:c r="N184" s="4"/>
    </x:row>
    <x:row r="185" ht="18" customHeight="1">
      <x:c r="A185" s="47" t="str">
        <x:v>Пещера с резным входом, священные бассейны и сад.</x:v>
      </x:c>
      <x:c r="B185" s="47" t="str">
        <x:v>Пещера с резным входом, священные бассейны и сад.</x:v>
      </x:c>
      <x:c r="C185" s="47" t="str">
        <x:v>Пещера с резным входом, священные бассейны и сад.</x:v>
      </x:c>
      <x:c r="D185" s="47" t="str">
        <x:v>Пещера с резным входом, священные бассейны и сад.</x:v>
      </x:c>
      <x:c r="E185" s="4"/>
      <x:c r="F185" s="47" t="str">
        <x:v>Храмовый ансамбль с рвом, садами и башнями меру.</x:v>
      </x:c>
      <x:c r="G185" s="47" t="str">
        <x:v>Храмовый ансамбль с рвом, садами и башнями меру.</x:v>
      </x:c>
      <x:c r="H185" s="47" t="str">
        <x:v>Храмовый ансамбль с рвом, садами и башнями меру.</x:v>
      </x:c>
      <x:c r="I185" s="47" t="str">
        <x:v>Храмовый ансамбль с рвом, садами и башнями меру.</x:v>
      </x:c>
      <x:c r="J185" s="4"/>
      <x:c r="K185" s="47" t="str">
        <x:v>Водный сад со ступенями через пруды и рыбами кои.</x:v>
      </x:c>
      <x:c r="L185" s="47" t="str">
        <x:v>Водный сад со ступенями через пруды и рыбами кои.</x:v>
      </x:c>
      <x:c r="M185" s="47" t="str">
        <x:v>Водный сад со ступенями через пруды и рыбами кои.</x:v>
      </x:c>
      <x:c r="N185" s="47" t="str">
        <x:v>Водный сад со ступенями через пруды и рыбами кои.</x:v>
      </x:c>
    </x:row>
    <x:row r="186" ht="18" customHeight="1">
      <x:c r="A186" s="47" t="str">
        <x:v>Пещера с резным входом, священные бассейны и сад.</x:v>
      </x:c>
      <x:c r="B186" s="47" t="str">
        <x:v>Пещера с резным входом, священные бассейны и сад.</x:v>
      </x:c>
      <x:c r="C186" s="47" t="str">
        <x:v>Пещера с резным входом, священные бассейны и сад.</x:v>
      </x:c>
      <x:c r="D186" s="47" t="str">
        <x:v>Пещера с резным входом, священные бассейны и сад.</x:v>
      </x:c>
      <x:c r="E186" s="4"/>
      <x:c r="F186" s="47" t="str">
        <x:v>Храмовый ансамбль с рвом, садами и башнями меру.</x:v>
      </x:c>
      <x:c r="G186" s="47" t="str">
        <x:v>Храмовый ансамбль с рвом, садами и башнями меру.</x:v>
      </x:c>
      <x:c r="H186" s="47" t="str">
        <x:v>Храмовый ансамбль с рвом, садами и башнями меру.</x:v>
      </x:c>
      <x:c r="I186" s="47" t="str">
        <x:v>Храмовый ансамбль с рвом, садами и башнями меру.</x:v>
      </x:c>
      <x:c r="J186" s="4"/>
      <x:c r="K186" s="47" t="str">
        <x:v>Водный сад со ступенями через пруды и рыбами кои.</x:v>
      </x:c>
      <x:c r="L186" s="47" t="str">
        <x:v>Водный сад со ступенями через пруды и рыбами кои.</x:v>
      </x:c>
      <x:c r="M186" s="47" t="str">
        <x:v>Водный сад со ступенями через пруды и рыбами кои.</x:v>
      </x:c>
      <x:c r="N186" s="47" t="str">
        <x:v>Водный сад со ступенями через пруды и рыбами кои.</x:v>
      </x:c>
    </x:row>
    <x:row r="187" ht="18" customHeight="1">
      <x:c r="A187" s="48" t="str">
        <x:v>Убуд  •  TA 3.7 / 5  •  Известное</x:v>
      </x:c>
      <x:c r="B187" s="48" t="str">
        <x:v>Убуд  •  TA 3.7 / 5  •  Известное</x:v>
      </x:c>
      <x:c r="C187" s="48" t="str">
        <x:v>Убуд  •  TA 3.7 / 5  •  Известное</x:v>
      </x:c>
      <x:c r="D187" s="48" t="str">
        <x:v>Убуд  •  TA 3.7 / 5  •  Известное</x:v>
      </x:c>
      <x:c r="E187" s="4"/>
      <x:c r="F187" s="48" t="str">
        <x:v>Менгви  •  TA 4.2 / 5  •  Известное</x:v>
      </x:c>
      <x:c r="G187" s="48" t="str">
        <x:v>Менгви  •  TA 4.2 / 5  •  Известное</x:v>
      </x:c>
      <x:c r="H187" s="48" t="str">
        <x:v>Менгви  •  TA 4.2 / 5  •  Известное</x:v>
      </x:c>
      <x:c r="I187" s="48" t="str">
        <x:v>Менгви  •  TA 4.2 / 5  •  Известное</x:v>
      </x:c>
      <x:c r="J187" s="4"/>
      <x:c r="K187" s="48" t="str">
        <x:v>Карангасем  •  TA 4.5 / 5  •  Известное</x:v>
      </x:c>
      <x:c r="L187" s="48" t="str">
        <x:v>Карангасем  •  TA 4.5 / 5  •  Известное</x:v>
      </x:c>
      <x:c r="M187" s="48" t="str">
        <x:v>Карангасем  •  TA 4.5 / 5  •  Известное</x:v>
      </x:c>
      <x:c r="N187" s="48" t="str">
        <x:v>Карангасем  •  TA 4.5 / 5  •  Известное</x:v>
      </x:c>
    </x:row>
    <x:row r="188" ht="18" customHeight="1">
      <x:c r="A188" s="8" t="str">
        <x:f>HYPERLINK("#'Места'!A17","В список →")</x:f>
        <x:v>В список →</x:v>
      </x:c>
      <x:c r="B188" s="4"/>
      <x:c r="C188" s="8" t="str">
        <x:f>HYPERLINK("https://dynamic-media-cdn.tripadvisor.com/media/photo-o/0a/a1/c4/fc/goa-gajah.jpg?h=-1&amp;s=1&amp;w=700","Источник ↗")</x:f>
        <x:v>Источник ↗</x:v>
      </x:c>
      <x:c r="D188" s="4"/>
      <x:c r="E188" s="4"/>
      <x:c r="F188" s="8" t="str">
        <x:f>HYPERLINK("#'Места'!A32","В список →")</x:f>
        <x:v>В список →</x:v>
      </x:c>
      <x:c r="G188" s="4"/>
      <x:c r="H188" s="8" t="str">
        <x:f>HYPERLINK("https://dynamic-media-cdn.tripadvisor.com/media/photo-o/0c/e4/3c/e6/photo7jpg.jpg?h=400&amp;s=1&amp;w=700","Источник ↗")</x:f>
        <x:v>Источник ↗</x:v>
      </x:c>
      <x:c r="I188" s="4"/>
      <x:c r="J188" s="4"/>
      <x:c r="K188" s="8" t="str">
        <x:f>HYPERLINK("#'Места'!A24","В список →")</x:f>
        <x:v>В список →</x:v>
      </x:c>
      <x:c r="L188" s="4"/>
      <x:c r="M188" s="8" t="str">
        <x:f>HYPERLINK("https://dynamic-media-cdn.tripadvisor.com/media/photo-o/05/6a/3c/6c/tirta-gangga.jpg?h=400&amp;s=1&amp;w=700","Источник ↗")</x:f>
        <x:v>Источник ↗</x:v>
      </x:c>
      <x:c r="N188" s="4"/>
    </x:row>
    <x:row r="189" ht="18" customHeight="1">
      <x:c r="A189" s="50" t="str">
        <x:v>40  Taman Ujung</x:v>
      </x:c>
      <x:c r="B189" s="50" t="str">
        <x:v>40  Taman Ujung</x:v>
      </x:c>
      <x:c r="C189" s="50" t="str">
        <x:v>40  Taman Ujung</x:v>
      </x:c>
      <x:c r="D189" s="50" t="str">
        <x:v>40  Taman Ujung</x:v>
      </x:c>
      <x:c r="E189" s="4"/>
      <x:c r="F189" s="50" t="str">
        <x:v>41  Penglipuran Village</x:v>
      </x:c>
      <x:c r="G189" s="50" t="str">
        <x:v>41  Penglipuran Village</x:v>
      </x:c>
      <x:c r="H189" s="50" t="str">
        <x:v>41  Penglipuran Village</x:v>
      </x:c>
      <x:c r="I189" s="50" t="str">
        <x:v>41  Penglipuran Village</x:v>
      </x:c>
      <x:c r="J189" s="4"/>
      <x:c r="K189" s="51" t="str">
        <x:v>42  Ubud Monkey Forest</x:v>
      </x:c>
      <x:c r="L189" s="51" t="str">
        <x:v>42  Ubud Monkey Forest</x:v>
      </x:c>
      <x:c r="M189" s="51" t="str">
        <x:v>42  Ubud Monkey Forest</x:v>
      </x:c>
      <x:c r="N189" s="51" t="str">
        <x:v>42  Ubud Monkey Forest</x:v>
      </x:c>
    </x:row>
    <x:row r="190" ht="18" customHeight="1">
      <x:c r="A190" s="50" t="str">
        <x:v>40  Taman Ujung</x:v>
      </x:c>
      <x:c r="B190" s="50" t="str">
        <x:v>40  Taman Ujung</x:v>
      </x:c>
      <x:c r="C190" s="50" t="str">
        <x:v>40  Taman Ujung</x:v>
      </x:c>
      <x:c r="D190" s="50" t="str">
        <x:v>40  Taman Ujung</x:v>
      </x:c>
      <x:c r="E190" s="4"/>
      <x:c r="F190" s="50" t="str">
        <x:v>41  Penglipuran Village</x:v>
      </x:c>
      <x:c r="G190" s="50" t="str">
        <x:v>41  Penglipuran Village</x:v>
      </x:c>
      <x:c r="H190" s="50" t="str">
        <x:v>41  Penglipuran Village</x:v>
      </x:c>
      <x:c r="I190" s="50" t="str">
        <x:v>41  Penglipuran Village</x:v>
      </x:c>
      <x:c r="J190" s="4"/>
      <x:c r="K190" s="51" t="str">
        <x:v>42  Ubud Monkey Forest</x:v>
      </x:c>
      <x:c r="L190" s="51" t="str">
        <x:v>42  Ubud Monkey Forest</x:v>
      </x:c>
      <x:c r="M190" s="51" t="str">
        <x:v>42  Ubud Monkey Forest</x:v>
      </x:c>
      <x:c r="N190" s="51" t="str">
        <x:v>42  Ubud Monkey Forest</x:v>
      </x:c>
    </x:row>
    <x:row r="191" ht="18" customHeight="1">
      <x:c r="A191" s="4"/>
      <x:c r="B191" s="4"/>
      <x:c r="C191" s="4"/>
      <x:c r="D191" s="4"/>
      <x:c r="E191" s="4"/>
      <x:c r="F191" s="4"/>
      <x:c r="G191" s="4"/>
      <x:c r="H191" s="4"/>
      <x:c r="I191" s="4"/>
      <x:c r="J191" s="4"/>
      <x:c r="K191" s="4"/>
      <x:c r="L191" s="4"/>
      <x:c r="M191" s="4"/>
      <x:c r="N191" s="4"/>
    </x:row>
    <x:row r="192" ht="18" customHeight="1">
      <x:c r="A192" s="4"/>
      <x:c r="B192" s="4"/>
      <x:c r="C192" s="4"/>
      <x:c r="D192" s="4"/>
      <x:c r="E192" s="4"/>
      <x:c r="F192" s="4"/>
      <x:c r="G192" s="4"/>
      <x:c r="H192" s="4"/>
      <x:c r="I192" s="4"/>
      <x:c r="J192" s="4"/>
      <x:c r="K192" s="4"/>
      <x:c r="L192" s="4"/>
      <x:c r="M192" s="4"/>
      <x:c r="N192" s="4"/>
    </x:row>
    <x:row r="193" ht="18" customHeight="1">
      <x:c r="A193" s="4"/>
      <x:c r="B193" s="4"/>
      <x:c r="C193" s="4"/>
      <x:c r="D193" s="4"/>
      <x:c r="E193" s="4"/>
      <x:c r="F193" s="4"/>
      <x:c r="G193" s="4"/>
      <x:c r="H193" s="4"/>
      <x:c r="I193" s="4"/>
      <x:c r="J193" s="4"/>
      <x:c r="K193" s="4"/>
      <x:c r="L193" s="4"/>
      <x:c r="M193" s="4"/>
      <x:c r="N193" s="4"/>
    </x:row>
    <x:row r="194" ht="18" customHeight="1">
      <x:c r="A194" s="4"/>
      <x:c r="B194" s="4"/>
      <x:c r="C194" s="4"/>
      <x:c r="D194" s="4"/>
      <x:c r="E194" s="4"/>
      <x:c r="F194" s="4"/>
      <x:c r="G194" s="4"/>
      <x:c r="H194" s="4"/>
      <x:c r="I194" s="4"/>
      <x:c r="J194" s="4"/>
      <x:c r="K194" s="4"/>
      <x:c r="L194" s="4"/>
      <x:c r="M194" s="4"/>
      <x:c r="N194" s="4"/>
    </x:row>
    <x:row r="195" ht="18" customHeight="1">
      <x:c r="A195" s="4"/>
      <x:c r="B195" s="4"/>
      <x:c r="C195" s="4"/>
      <x:c r="D195" s="4"/>
      <x:c r="E195" s="4"/>
      <x:c r="F195" s="4"/>
      <x:c r="G195" s="4"/>
      <x:c r="H195" s="4"/>
      <x:c r="I195" s="4"/>
      <x:c r="J195" s="4"/>
      <x:c r="K195" s="4"/>
      <x:c r="L195" s="4"/>
      <x:c r="M195" s="4"/>
      <x:c r="N195" s="4"/>
    </x:row>
    <x:row r="196" ht="18" customHeight="1">
      <x:c r="A196" s="4"/>
      <x:c r="B196" s="4"/>
      <x:c r="C196" s="4"/>
      <x:c r="D196" s="4"/>
      <x:c r="E196" s="4"/>
      <x:c r="F196" s="4"/>
      <x:c r="G196" s="4"/>
      <x:c r="H196" s="4"/>
      <x:c r="I196" s="4"/>
      <x:c r="J196" s="4"/>
      <x:c r="K196" s="4"/>
      <x:c r="L196" s="4"/>
      <x:c r="M196" s="4"/>
      <x:c r="N196" s="4"/>
    </x:row>
    <x:row r="197" ht="18" customHeight="1">
      <x:c r="A197" s="4"/>
      <x:c r="B197" s="4"/>
      <x:c r="C197" s="4"/>
      <x:c r="D197" s="4"/>
      <x:c r="E197" s="4"/>
      <x:c r="F197" s="4"/>
      <x:c r="G197" s="4"/>
      <x:c r="H197" s="4"/>
      <x:c r="I197" s="4"/>
      <x:c r="J197" s="4"/>
      <x:c r="K197" s="4"/>
      <x:c r="L197" s="4"/>
      <x:c r="M197" s="4"/>
      <x:c r="N197" s="4"/>
    </x:row>
    <x:row r="198" ht="18" customHeight="1">
      <x:c r="A198" s="4"/>
      <x:c r="B198" s="4"/>
      <x:c r="C198" s="4"/>
      <x:c r="D198" s="4"/>
      <x:c r="E198" s="4"/>
      <x:c r="F198" s="4"/>
      <x:c r="G198" s="4"/>
      <x:c r="H198" s="4"/>
      <x:c r="I198" s="4"/>
      <x:c r="J198" s="4"/>
      <x:c r="K198" s="4"/>
      <x:c r="L198" s="4"/>
      <x:c r="M198" s="4"/>
      <x:c r="N198" s="4"/>
    </x:row>
    <x:row r="199" ht="18" customHeight="1">
      <x:c r="A199" s="47" t="str">
        <x:v>Просторный водный дворец, мосты и виды на восточное побережье.</x:v>
      </x:c>
      <x:c r="B199" s="47" t="str">
        <x:v>Просторный водный дворец, мосты и виды на восточное побережье.</x:v>
      </x:c>
      <x:c r="C199" s="47" t="str">
        <x:v>Просторный водный дворец, мосты и виды на восточное побережье.</x:v>
      </x:c>
      <x:c r="D199" s="47" t="str">
        <x:v>Просторный водный дворец, мосты и виды на восточное побережье.</x:v>
      </x:c>
      <x:c r="E199" s="4"/>
      <x:c r="F199" s="47" t="str">
        <x:v>Традиционная планировка деревни и прогулка к бамбуковому лесу.</x:v>
      </x:c>
      <x:c r="G199" s="47" t="str">
        <x:v>Традиционная планировка деревни и прогулка к бамбуковому лесу.</x:v>
      </x:c>
      <x:c r="H199" s="47" t="str">
        <x:v>Традиционная планировка деревни и прогулка к бамбуковому лесу.</x:v>
      </x:c>
      <x:c r="I199" s="47" t="str">
        <x:v>Традиционная планировка деревни и прогулка к бамбуковому лесу.</x:v>
      </x:c>
      <x:c r="J199" s="4"/>
      <x:c r="K199" s="47" t="str">
        <x:v>Лес, мосты, храмы и многочисленные макаки в центре Убуда.</x:v>
      </x:c>
      <x:c r="L199" s="47" t="str">
        <x:v>Лес, мосты, храмы и многочисленные макаки в центре Убуда.</x:v>
      </x:c>
      <x:c r="M199" s="47" t="str">
        <x:v>Лес, мосты, храмы и многочисленные макаки в центре Убуда.</x:v>
      </x:c>
      <x:c r="N199" s="47" t="str">
        <x:v>Лес, мосты, храмы и многочисленные макаки в центре Убуда.</x:v>
      </x:c>
    </x:row>
    <x:row r="200" ht="18" customHeight="1">
      <x:c r="A200" s="47" t="str">
        <x:v>Просторный водный дворец, мосты и виды на восточное побережье.</x:v>
      </x:c>
      <x:c r="B200" s="47" t="str">
        <x:v>Просторный водный дворец, мосты и виды на восточное побережье.</x:v>
      </x:c>
      <x:c r="C200" s="47" t="str">
        <x:v>Просторный водный дворец, мосты и виды на восточное побережье.</x:v>
      </x:c>
      <x:c r="D200" s="47" t="str">
        <x:v>Просторный водный дворец, мосты и виды на восточное побережье.</x:v>
      </x:c>
      <x:c r="E200" s="4"/>
      <x:c r="F200" s="47" t="str">
        <x:v>Традиционная планировка деревни и прогулка к бамбуковому лесу.</x:v>
      </x:c>
      <x:c r="G200" s="47" t="str">
        <x:v>Традиционная планировка деревни и прогулка к бамбуковому лесу.</x:v>
      </x:c>
      <x:c r="H200" s="47" t="str">
        <x:v>Традиционная планировка деревни и прогулка к бамбуковому лесу.</x:v>
      </x:c>
      <x:c r="I200" s="47" t="str">
        <x:v>Традиционная планировка деревни и прогулка к бамбуковому лесу.</x:v>
      </x:c>
      <x:c r="J200" s="4"/>
      <x:c r="K200" s="47" t="str">
        <x:v>Лес, мосты, храмы и многочисленные макаки в центре Убуда.</x:v>
      </x:c>
      <x:c r="L200" s="47" t="str">
        <x:v>Лес, мосты, храмы и многочисленные макаки в центре Убуда.</x:v>
      </x:c>
      <x:c r="M200" s="47" t="str">
        <x:v>Лес, мосты, храмы и многочисленные макаки в центре Убуда.</x:v>
      </x:c>
      <x:c r="N200" s="47" t="str">
        <x:v>Лес, мосты, храмы и многочисленные макаки в центре Убуда.</x:v>
      </x:c>
    </x:row>
    <x:row r="201" ht="18" customHeight="1">
      <x:c r="A201" s="48" t="str">
        <x:v>Карангасем  •  TA 4.4 / 5  •  Неочевидное</x:v>
      </x:c>
      <x:c r="B201" s="48" t="str">
        <x:v>Карангасем  •  TA 4.4 / 5  •  Неочевидное</x:v>
      </x:c>
      <x:c r="C201" s="48" t="str">
        <x:v>Карангасем  •  TA 4.4 / 5  •  Неочевидное</x:v>
      </x:c>
      <x:c r="D201" s="48" t="str">
        <x:v>Карангасем  •  TA 4.4 / 5  •  Неочевидное</x:v>
      </x:c>
      <x:c r="E201" s="4"/>
      <x:c r="F201" s="48" t="str">
        <x:v>Бангли  •  TA 4.3 / 5  •  Известное</x:v>
      </x:c>
      <x:c r="G201" s="48" t="str">
        <x:v>Бангли  •  TA 4.3 / 5  •  Известное</x:v>
      </x:c>
      <x:c r="H201" s="48" t="str">
        <x:v>Бангли  •  TA 4.3 / 5  •  Известное</x:v>
      </x:c>
      <x:c r="I201" s="48" t="str">
        <x:v>Бангли  •  TA 4.3 / 5  •  Известное</x:v>
      </x:c>
      <x:c r="J201" s="4"/>
      <x:c r="K201" s="48" t="str">
        <x:v>Убуд  •  TA 4.2 / 5  •  Известное</x:v>
      </x:c>
      <x:c r="L201" s="48" t="str">
        <x:v>Убуд  •  TA 4.2 / 5  •  Известное</x:v>
      </x:c>
      <x:c r="M201" s="48" t="str">
        <x:v>Убуд  •  TA 4.2 / 5  •  Известное</x:v>
      </x:c>
      <x:c r="N201" s="48" t="str">
        <x:v>Убуд  •  TA 4.2 / 5  •  Известное</x:v>
      </x:c>
    </x:row>
    <x:row r="202" ht="18" customHeight="1">
      <x:c r="A202" s="8" t="str">
        <x:f>HYPERLINK("#'Места'!A36","В список →")</x:f>
        <x:v>В список →</x:v>
      </x:c>
      <x:c r="B202" s="4"/>
      <x:c r="C202" s="8" t="str">
        <x:f>HYPERLINK("https://dynamic-media-cdn.tripadvisor.com/media/photo-o/13/09/e6/cc/img-20180523-wa0025-largejpg.jpg?h=400&amp;s=1&amp;w=700","Источник ↗")</x:f>
        <x:v>Источник ↗</x:v>
      </x:c>
      <x:c r="D202" s="4"/>
      <x:c r="E202" s="4"/>
      <x:c r="F202" s="8" t="str">
        <x:f>HYPERLINK("#'Места'!A47","В список →")</x:f>
        <x:v>В список →</x:v>
      </x:c>
      <x:c r="G202" s="4"/>
      <x:c r="H202" s="8" t="str">
        <x:f>HYPERLINK("https://dynamic-media-cdn.tripadvisor.com/media/photo-o/11/13/17/e6/photo2jpg.jpg?h=400&amp;s=1&amp;w=700","Источник ↗")</x:f>
        <x:v>Источник ↗</x:v>
      </x:c>
      <x:c r="I202" s="4"/>
      <x:c r="J202" s="4"/>
      <x:c r="K202" s="8" t="str">
        <x:f>HYPERLINK("#'Места'!A11","В список →")</x:f>
        <x:v>В список →</x:v>
      </x:c>
      <x:c r="L202" s="4"/>
      <x:c r="M202" s="8" t="str">
        <x:f>HYPERLINK("https://dynamic-media-cdn.tripadvisor.com/media/photo-o/1b/49/31/ed/photo5jpg.jpg?h=400&amp;s=1&amp;w=700","Источник ↗")</x:f>
        <x:v>Источник ↗</x:v>
      </x:c>
      <x:c r="N202" s="4"/>
    </x:row>
    <x:row r="203" ht="18" customHeight="1">
      <x:c r="A203" s="50" t="str">
        <x:v>43  Lempuyang Temple</x:v>
      </x:c>
      <x:c r="B203" s="50" t="str">
        <x:v>43  Lempuyang Temple</x:v>
      </x:c>
      <x:c r="C203" s="50" t="str">
        <x:v>43  Lempuyang Temple</x:v>
      </x:c>
      <x:c r="D203" s="50" t="str">
        <x:v>43  Lempuyang Temple</x:v>
      </x:c>
      <x:c r="E203" s="4"/>
      <x:c r="F203" s="51" t="str">
        <x:v>44  Jatiluwih Rice Terraces</x:v>
      </x:c>
      <x:c r="G203" s="51" t="str">
        <x:v>44  Jatiluwih Rice Terraces</x:v>
      </x:c>
      <x:c r="H203" s="51" t="str">
        <x:v>44  Jatiluwih Rice Terraces</x:v>
      </x:c>
      <x:c r="I203" s="51" t="str">
        <x:v>44  Jatiluwih Rice Terraces</x:v>
      </x:c>
      <x:c r="J203" s="4"/>
      <x:c r="K203" s="51" t="str">
        <x:v>45  Tegalalang Rice Terrace</x:v>
      </x:c>
      <x:c r="L203" s="51" t="str">
        <x:v>45  Tegalalang Rice Terrace</x:v>
      </x:c>
      <x:c r="M203" s="51" t="str">
        <x:v>45  Tegalalang Rice Terrace</x:v>
      </x:c>
      <x:c r="N203" s="51" t="str">
        <x:v>45  Tegalalang Rice Terrace</x:v>
      </x:c>
    </x:row>
    <x:row r="204" ht="18" customHeight="1">
      <x:c r="A204" s="50" t="str">
        <x:v>43  Lempuyang Temple</x:v>
      </x:c>
      <x:c r="B204" s="50" t="str">
        <x:v>43  Lempuyang Temple</x:v>
      </x:c>
      <x:c r="C204" s="50" t="str">
        <x:v>43  Lempuyang Temple</x:v>
      </x:c>
      <x:c r="D204" s="50" t="str">
        <x:v>43  Lempuyang Temple</x:v>
      </x:c>
      <x:c r="E204" s="4"/>
      <x:c r="F204" s="51" t="str">
        <x:v>44  Jatiluwih Rice Terraces</x:v>
      </x:c>
      <x:c r="G204" s="51" t="str">
        <x:v>44  Jatiluwih Rice Terraces</x:v>
      </x:c>
      <x:c r="H204" s="51" t="str">
        <x:v>44  Jatiluwih Rice Terraces</x:v>
      </x:c>
      <x:c r="I204" s="51" t="str">
        <x:v>44  Jatiluwih Rice Terraces</x:v>
      </x:c>
      <x:c r="J204" s="4"/>
      <x:c r="K204" s="51" t="str">
        <x:v>45  Tegalalang Rice Terrace</x:v>
      </x:c>
      <x:c r="L204" s="51" t="str">
        <x:v>45  Tegalalang Rice Terrace</x:v>
      </x:c>
      <x:c r="M204" s="51" t="str">
        <x:v>45  Tegalalang Rice Terrace</x:v>
      </x:c>
      <x:c r="N204" s="51" t="str">
        <x:v>45  Tegalalang Rice Terrace</x:v>
      </x:c>
    </x:row>
    <x:row r="205" ht="18" customHeight="1">
      <x:c r="A205" s="4"/>
      <x:c r="B205" s="4"/>
      <x:c r="C205" s="4"/>
      <x:c r="D205" s="4"/>
      <x:c r="E205" s="4"/>
      <x:c r="F205" s="4"/>
      <x:c r="G205" s="4"/>
      <x:c r="H205" s="4"/>
      <x:c r="I205" s="4"/>
      <x:c r="J205" s="4"/>
      <x:c r="K205" s="4"/>
      <x:c r="L205" s="4"/>
      <x:c r="M205" s="4"/>
      <x:c r="N205" s="4"/>
    </x:row>
    <x:row r="206" ht="18" customHeight="1">
      <x:c r="A206" s="4"/>
      <x:c r="B206" s="4"/>
      <x:c r="C206" s="4"/>
      <x:c r="D206" s="4"/>
      <x:c r="E206" s="4"/>
      <x:c r="F206" s="4"/>
      <x:c r="G206" s="4"/>
      <x:c r="H206" s="4"/>
      <x:c r="I206" s="4"/>
      <x:c r="J206" s="4"/>
      <x:c r="K206" s="4"/>
      <x:c r="L206" s="4"/>
      <x:c r="M206" s="4"/>
      <x:c r="N206" s="4"/>
    </x:row>
    <x:row r="207" ht="18" customHeight="1">
      <x:c r="A207" s="4"/>
      <x:c r="B207" s="4"/>
      <x:c r="C207" s="4"/>
      <x:c r="D207" s="4"/>
      <x:c r="E207" s="4"/>
      <x:c r="F207" s="4"/>
      <x:c r="G207" s="4"/>
      <x:c r="H207" s="4"/>
      <x:c r="I207" s="4"/>
      <x:c r="J207" s="4"/>
      <x:c r="K207" s="4"/>
      <x:c r="L207" s="4"/>
      <x:c r="M207" s="4"/>
      <x:c r="N207" s="4"/>
    </x:row>
    <x:row r="208" ht="18" customHeight="1">
      <x:c r="A208" s="4"/>
      <x:c r="B208" s="4"/>
      <x:c r="C208" s="4"/>
      <x:c r="D208" s="4"/>
      <x:c r="E208" s="4"/>
      <x:c r="F208" s="4"/>
      <x:c r="G208" s="4"/>
      <x:c r="H208" s="4"/>
      <x:c r="I208" s="4"/>
      <x:c r="J208" s="4"/>
      <x:c r="K208" s="4"/>
      <x:c r="L208" s="4"/>
      <x:c r="M208" s="4"/>
      <x:c r="N208" s="4"/>
    </x:row>
    <x:row r="209" ht="18" customHeight="1">
      <x:c r="A209" s="4"/>
      <x:c r="B209" s="4"/>
      <x:c r="C209" s="4"/>
      <x:c r="D209" s="4"/>
      <x:c r="E209" s="4"/>
      <x:c r="F209" s="4"/>
      <x:c r="G209" s="4"/>
      <x:c r="H209" s="4"/>
      <x:c r="I209" s="4"/>
      <x:c r="J209" s="4"/>
      <x:c r="K209" s="4"/>
      <x:c r="L209" s="4"/>
      <x:c r="M209" s="4"/>
      <x:c r="N209" s="4"/>
    </x:row>
    <x:row r="210" ht="18" customHeight="1">
      <x:c r="A210" s="4"/>
      <x:c r="B210" s="4"/>
      <x:c r="C210" s="4"/>
      <x:c r="D210" s="4"/>
      <x:c r="E210" s="4"/>
      <x:c r="F210" s="4"/>
      <x:c r="G210" s="4"/>
      <x:c r="H210" s="4"/>
      <x:c r="I210" s="4"/>
      <x:c r="J210" s="4"/>
      <x:c r="K210" s="4"/>
      <x:c r="L210" s="4"/>
      <x:c r="M210" s="4"/>
      <x:c r="N210" s="4"/>
    </x:row>
    <x:row r="211" ht="18" customHeight="1">
      <x:c r="A211" s="4"/>
      <x:c r="B211" s="4"/>
      <x:c r="C211" s="4"/>
      <x:c r="D211" s="4"/>
      <x:c r="E211" s="4"/>
      <x:c r="F211" s="4"/>
      <x:c r="G211" s="4"/>
      <x:c r="H211" s="4"/>
      <x:c r="I211" s="4"/>
      <x:c r="J211" s="4"/>
      <x:c r="K211" s="4"/>
      <x:c r="L211" s="4"/>
      <x:c r="M211" s="4"/>
      <x:c r="N211" s="4"/>
    </x:row>
    <x:row r="212" ht="18" customHeight="1">
      <x:c r="A212" s="4"/>
      <x:c r="B212" s="4"/>
      <x:c r="C212" s="4"/>
      <x:c r="D212" s="4"/>
      <x:c r="E212" s="4"/>
      <x:c r="F212" s="4"/>
      <x:c r="G212" s="4"/>
      <x:c r="H212" s="4"/>
      <x:c r="I212" s="4"/>
      <x:c r="J212" s="4"/>
      <x:c r="K212" s="4"/>
      <x:c r="L212" s="4"/>
      <x:c r="M212" s="4"/>
      <x:c r="N212" s="4"/>
    </x:row>
    <x:row r="213" ht="18" customHeight="1">
      <x:c r="A213" s="47" t="str">
        <x:v>Ворота с видом на Агунг; вокруг большой храмовый комплекс.</x:v>
      </x:c>
      <x:c r="B213" s="47" t="str">
        <x:v>Ворота с видом на Агунг; вокруг большой храмовый комплекс.</x:v>
      </x:c>
      <x:c r="C213" s="47" t="str">
        <x:v>Ворота с видом на Агунг; вокруг большой храмовый комплекс.</x:v>
      </x:c>
      <x:c r="D213" s="47" t="str">
        <x:v>Ворота с видом на Агунг; вокруг большой храмовый комплекс.</x:v>
      </x:c>
      <x:c r="E213" s="4"/>
      <x:c r="F213" s="47" t="str">
        <x:v>Большие рисовые ландшафты и прогулочные тропы; хороший выбор ради природы.</x:v>
      </x:c>
      <x:c r="G213" s="47" t="str">
        <x:v>Большие рисовые ландшафты и прогулочные тропы; хороший выбор ради природы.</x:v>
      </x:c>
      <x:c r="H213" s="47" t="str">
        <x:v>Большие рисовые ландшафты и прогулочные тропы; хороший выбор ради природы.</x:v>
      </x:c>
      <x:c r="I213" s="47" t="str">
        <x:v>Большие рисовые ландшафты и прогулочные тропы; хороший выбор ради природы.</x:v>
      </x:c>
      <x:c r="J213" s="4"/>
      <x:c r="K213" s="47" t="str">
        <x:v>Компактные крутые террасы около Убуда, много фотозон.</x:v>
      </x:c>
      <x:c r="L213" s="47" t="str">
        <x:v>Компактные крутые террасы около Убуда, много фотозон.</x:v>
      </x:c>
      <x:c r="M213" s="47" t="str">
        <x:v>Компактные крутые террасы около Убуда, много фотозон.</x:v>
      </x:c>
      <x:c r="N213" s="47" t="str">
        <x:v>Компактные крутые террасы около Убуда, много фотозон.</x:v>
      </x:c>
    </x:row>
    <x:row r="214" ht="18" customHeight="1">
      <x:c r="A214" s="47" t="str">
        <x:v>Ворота с видом на Агунг; вокруг большой храмовый комплекс.</x:v>
      </x:c>
      <x:c r="B214" s="47" t="str">
        <x:v>Ворота с видом на Агунг; вокруг большой храмовый комплекс.</x:v>
      </x:c>
      <x:c r="C214" s="47" t="str">
        <x:v>Ворота с видом на Агунг; вокруг большой храмовый комплекс.</x:v>
      </x:c>
      <x:c r="D214" s="47" t="str">
        <x:v>Ворота с видом на Агунг; вокруг большой храмовый комплекс.</x:v>
      </x:c>
      <x:c r="E214" s="4"/>
      <x:c r="F214" s="47" t="str">
        <x:v>Большие рисовые ландшафты и прогулочные тропы; хороший выбор ради природы.</x:v>
      </x:c>
      <x:c r="G214" s="47" t="str">
        <x:v>Большие рисовые ландшафты и прогулочные тропы; хороший выбор ради природы.</x:v>
      </x:c>
      <x:c r="H214" s="47" t="str">
        <x:v>Большие рисовые ландшафты и прогулочные тропы; хороший выбор ради природы.</x:v>
      </x:c>
      <x:c r="I214" s="47" t="str">
        <x:v>Большие рисовые ландшафты и прогулочные тропы; хороший выбор ради природы.</x:v>
      </x:c>
      <x:c r="J214" s="4"/>
      <x:c r="K214" s="47" t="str">
        <x:v>Компактные крутые террасы около Убуда, много фотозон.</x:v>
      </x:c>
      <x:c r="L214" s="47" t="str">
        <x:v>Компактные крутые террасы около Убуда, много фотозон.</x:v>
      </x:c>
      <x:c r="M214" s="47" t="str">
        <x:v>Компактные крутые террасы около Убуда, много фотозон.</x:v>
      </x:c>
      <x:c r="N214" s="47" t="str">
        <x:v>Компактные крутые террасы около Убуда, много фотозон.</x:v>
      </x:c>
    </x:row>
    <x:row r="215" ht="18" customHeight="1">
      <x:c r="A215" s="48" t="str">
        <x:v>Карангасем  •  TA 3.9 / 5  •  Известное</x:v>
      </x:c>
      <x:c r="B215" s="48" t="str">
        <x:v>Карангасем  •  TA 3.9 / 5  •  Известное</x:v>
      </x:c>
      <x:c r="C215" s="48" t="str">
        <x:v>Карангасем  •  TA 3.9 / 5  •  Известное</x:v>
      </x:c>
      <x:c r="D215" s="48" t="str">
        <x:v>Карангасем  •  TA 3.9 / 5  •  Известное</x:v>
      </x:c>
      <x:c r="E215" s="4"/>
      <x:c r="F215" s="48" t="str">
        <x:v>Табанан  •  TA 4.7 / 5  •  Известное</x:v>
      </x:c>
      <x:c r="G215" s="48" t="str">
        <x:v>Табанан  •  TA 4.7 / 5  •  Известное</x:v>
      </x:c>
      <x:c r="H215" s="48" t="str">
        <x:v>Табанан  •  TA 4.7 / 5  •  Известное</x:v>
      </x:c>
      <x:c r="I215" s="48" t="str">
        <x:v>Табанан  •  TA 4.7 / 5  •  Известное</x:v>
      </x:c>
      <x:c r="J215" s="4"/>
      <x:c r="K215" s="48" t="str">
        <x:v>Убуд  •  TA 4.1 / 5  •  Известное</x:v>
      </x:c>
      <x:c r="L215" s="48" t="str">
        <x:v>Убуд  •  TA 4.1 / 5  •  Известное</x:v>
      </x:c>
      <x:c r="M215" s="48" t="str">
        <x:v>Убуд  •  TA 4.1 / 5  •  Известное</x:v>
      </x:c>
      <x:c r="N215" s="48" t="str">
        <x:v>Убуд  •  TA 4.1 / 5  •  Известное</x:v>
      </x:c>
    </x:row>
    <x:row r="216" ht="18" customHeight="1">
      <x:c r="A216" s="8" t="str">
        <x:f>HYPERLINK("#'Места'!A39","В список →")</x:f>
        <x:v>В список →</x:v>
      </x:c>
      <x:c r="B216" s="4"/>
      <x:c r="C216" s="8" t="str">
        <x:f>HYPERLINK("https://dynamic-media-cdn.tripadvisor.com/media/photo-o/18/1e/20/ad/the-gate-of-heaven.jpg?h=400&amp;s=1&amp;w=700","Источник ↗")</x:f>
        <x:v>Источник ↗</x:v>
      </x:c>
      <x:c r="D216" s="4"/>
      <x:c r="E216" s="4"/>
      <x:c r="F216" s="8" t="str">
        <x:f>HYPERLINK("#'Места'!A28","В список →")</x:f>
        <x:v>В список →</x:v>
      </x:c>
      <x:c r="G216" s="4"/>
      <x:c r="H216" s="8" t="str">
        <x:f>HYPERLINK("https://dynamic-media-cdn.tripadvisor.com/media/photo-o/06/e3/65/26/jatiluwih-warisan-budaya.jpg?h=400&amp;s=1&amp;w=700","Источник ↗")</x:f>
        <x:v>Источник ↗</x:v>
      </x:c>
      <x:c r="I216" s="4"/>
      <x:c r="J216" s="4"/>
      <x:c r="K216" s="8" t="str">
        <x:f>HYPERLINK("#'Места'!A12","В список →")</x:f>
        <x:v>В список →</x:v>
      </x:c>
      <x:c r="L216" s="4"/>
      <x:c r="M216" s="8" t="str">
        <x:f>HYPERLINK("https://dynamic-media-cdn.tripadvisor.com/media/photo-o/18/92/91/7a/pretty-rice-field-but.jpg?h=400&amp;s=1&amp;w=700","Источник ↗")</x:f>
        <x:v>Источник ↗</x:v>
      </x:c>
      <x:c r="N216" s="4"/>
    </x:row>
    <x:row r="217" ht="18" customHeight="1">
      <x:c r="A217" s="51" t="str">
        <x:v>46  Campuhan Ridge Walk</x:v>
      </x:c>
      <x:c r="B217" s="51" t="str">
        <x:v>46  Campuhan Ridge Walk</x:v>
      </x:c>
      <x:c r="C217" s="51" t="str">
        <x:v>46  Campuhan Ridge Walk</x:v>
      </x:c>
      <x:c r="D217" s="51" t="str">
        <x:v>46  Campuhan Ridge Walk</x:v>
      </x:c>
      <x:c r="E217" s="4"/>
      <x:c r="F217" s="51" t="str">
        <x:v>47  Sidemen Rice Terrace</x:v>
      </x:c>
      <x:c r="G217" s="51" t="str">
        <x:v>47  Sidemen Rice Terrace</x:v>
      </x:c>
      <x:c r="H217" s="51" t="str">
        <x:v>47  Sidemen Rice Terrace</x:v>
      </x:c>
      <x:c r="I217" s="51" t="str">
        <x:v>47  Sidemen Rice Terrace</x:v>
      </x:c>
      <x:c r="J217" s="4"/>
      <x:c r="K217" s="51" t="str">
        <x:v>48  Lahangan Sweet</x:v>
      </x:c>
      <x:c r="L217" s="51" t="str">
        <x:v>48  Lahangan Sweet</x:v>
      </x:c>
      <x:c r="M217" s="51" t="str">
        <x:v>48  Lahangan Sweet</x:v>
      </x:c>
      <x:c r="N217" s="51" t="str">
        <x:v>48  Lahangan Sweet</x:v>
      </x:c>
    </x:row>
    <x:row r="218" ht="18" customHeight="1">
      <x:c r="A218" s="51" t="str">
        <x:v>46  Campuhan Ridge Walk</x:v>
      </x:c>
      <x:c r="B218" s="51" t="str">
        <x:v>46  Campuhan Ridge Walk</x:v>
      </x:c>
      <x:c r="C218" s="51" t="str">
        <x:v>46  Campuhan Ridge Walk</x:v>
      </x:c>
      <x:c r="D218" s="51" t="str">
        <x:v>46  Campuhan Ridge Walk</x:v>
      </x:c>
      <x:c r="E218" s="4"/>
      <x:c r="F218" s="51" t="str">
        <x:v>47  Sidemen Rice Terrace</x:v>
      </x:c>
      <x:c r="G218" s="51" t="str">
        <x:v>47  Sidemen Rice Terrace</x:v>
      </x:c>
      <x:c r="H218" s="51" t="str">
        <x:v>47  Sidemen Rice Terrace</x:v>
      </x:c>
      <x:c r="I218" s="51" t="str">
        <x:v>47  Sidemen Rice Terrace</x:v>
      </x:c>
      <x:c r="J218" s="4"/>
      <x:c r="K218" s="51" t="str">
        <x:v>48  Lahangan Sweet</x:v>
      </x:c>
      <x:c r="L218" s="51" t="str">
        <x:v>48  Lahangan Sweet</x:v>
      </x:c>
      <x:c r="M218" s="51" t="str">
        <x:v>48  Lahangan Sweet</x:v>
      </x:c>
      <x:c r="N218" s="51" t="str">
        <x:v>48  Lahangan Sweet</x:v>
      </x:c>
    </x:row>
    <x:row r="219" ht="18" customHeight="1">
      <x:c r="A219" s="4"/>
      <x:c r="B219" s="4"/>
      <x:c r="C219" s="4"/>
      <x:c r="D219" s="4"/>
      <x:c r="E219" s="4"/>
      <x:c r="F219" s="4"/>
      <x:c r="G219" s="4"/>
      <x:c r="H219" s="4"/>
      <x:c r="I219" s="4"/>
      <x:c r="J219" s="4"/>
      <x:c r="K219" s="4"/>
      <x:c r="L219" s="4"/>
      <x:c r="M219" s="4"/>
      <x:c r="N219" s="4"/>
    </x:row>
    <x:row r="220" ht="18" customHeight="1">
      <x:c r="A220" s="4"/>
      <x:c r="B220" s="4"/>
      <x:c r="C220" s="4"/>
      <x:c r="D220" s="4"/>
      <x:c r="E220" s="4"/>
      <x:c r="F220" s="4"/>
      <x:c r="G220" s="4"/>
      <x:c r="H220" s="4"/>
      <x:c r="I220" s="4"/>
      <x:c r="J220" s="4"/>
      <x:c r="K220" s="4"/>
      <x:c r="L220" s="4"/>
      <x:c r="M220" s="4"/>
      <x:c r="N220" s="4"/>
    </x:row>
    <x:row r="221" ht="18" customHeight="1">
      <x:c r="A221" s="4"/>
      <x:c r="B221" s="4"/>
      <x:c r="C221" s="4"/>
      <x:c r="D221" s="4"/>
      <x:c r="E221" s="4"/>
      <x:c r="F221" s="4"/>
      <x:c r="G221" s="4"/>
      <x:c r="H221" s="4"/>
      <x:c r="I221" s="4"/>
      <x:c r="J221" s="4"/>
      <x:c r="K221" s="4"/>
      <x:c r="L221" s="4"/>
      <x:c r="M221" s="4"/>
      <x:c r="N221" s="4"/>
    </x:row>
    <x:row r="222" ht="18" customHeight="1">
      <x:c r="A222" s="4"/>
      <x:c r="B222" s="4"/>
      <x:c r="C222" s="4"/>
      <x:c r="D222" s="4"/>
      <x:c r="E222" s="4"/>
      <x:c r="F222" s="4"/>
      <x:c r="G222" s="4"/>
      <x:c r="H222" s="4"/>
      <x:c r="I222" s="4"/>
      <x:c r="J222" s="4"/>
      <x:c r="K222" s="4"/>
      <x:c r="L222" s="4"/>
      <x:c r="M222" s="4"/>
      <x:c r="N222" s="4"/>
    </x:row>
    <x:row r="223" ht="18" customHeight="1">
      <x:c r="A223" s="4"/>
      <x:c r="B223" s="4"/>
      <x:c r="C223" s="4"/>
      <x:c r="D223" s="4"/>
      <x:c r="E223" s="4"/>
      <x:c r="F223" s="4"/>
      <x:c r="G223" s="4"/>
      <x:c r="H223" s="4"/>
      <x:c r="I223" s="4"/>
      <x:c r="J223" s="4"/>
      <x:c r="K223" s="4"/>
      <x:c r="L223" s="4"/>
      <x:c r="M223" s="4"/>
      <x:c r="N223" s="4"/>
    </x:row>
    <x:row r="224" ht="18" customHeight="1">
      <x:c r="A224" s="4"/>
      <x:c r="B224" s="4"/>
      <x:c r="C224" s="4"/>
      <x:c r="D224" s="4"/>
      <x:c r="E224" s="4"/>
      <x:c r="F224" s="4"/>
      <x:c r="G224" s="4"/>
      <x:c r="H224" s="4"/>
      <x:c r="I224" s="4"/>
      <x:c r="J224" s="4"/>
      <x:c r="K224" s="4"/>
      <x:c r="L224" s="4"/>
      <x:c r="M224" s="4"/>
      <x:c r="N224" s="4"/>
    </x:row>
    <x:row r="225" ht="18" customHeight="1">
      <x:c r="A225" s="4"/>
      <x:c r="B225" s="4"/>
      <x:c r="C225" s="4"/>
      <x:c r="D225" s="4"/>
      <x:c r="E225" s="4"/>
      <x:c r="F225" s="4"/>
      <x:c r="G225" s="4"/>
      <x:c r="H225" s="4"/>
      <x:c r="I225" s="4"/>
      <x:c r="J225" s="4"/>
      <x:c r="K225" s="4"/>
      <x:c r="L225" s="4"/>
      <x:c r="M225" s="4"/>
      <x:c r="N225" s="4"/>
    </x:row>
    <x:row r="226" ht="18" customHeight="1">
      <x:c r="A226" s="4"/>
      <x:c r="B226" s="4"/>
      <x:c r="C226" s="4"/>
      <x:c r="D226" s="4"/>
      <x:c r="E226" s="4"/>
      <x:c r="F226" s="4"/>
      <x:c r="G226" s="4"/>
      <x:c r="H226" s="4"/>
      <x:c r="I226" s="4"/>
      <x:c r="J226" s="4"/>
      <x:c r="K226" s="4"/>
      <x:c r="L226" s="4"/>
      <x:c r="M226" s="4"/>
      <x:c r="N226" s="4"/>
    </x:row>
    <x:row r="227" ht="18" customHeight="1">
      <x:c r="A227" s="47" t="str">
        <x:v>Прогулка по зелёному гребню от центра Убуда.</x:v>
      </x:c>
      <x:c r="B227" s="47" t="str">
        <x:v>Прогулка по зелёному гребню от центра Убуда.</x:v>
      </x:c>
      <x:c r="C227" s="47" t="str">
        <x:v>Прогулка по зелёному гребню от центра Убуда.</x:v>
      </x:c>
      <x:c r="D227" s="47" t="str">
        <x:v>Прогулка по зелёному гребню от центра Убуда.</x:v>
      </x:c>
      <x:c r="E227" s="4"/>
      <x:c r="F227" s="47" t="str">
        <x:v>Пешая прогулка среди работающих рисовых полей Сидемена.</x:v>
      </x:c>
      <x:c r="G227" s="47" t="str">
        <x:v>Пешая прогулка среди работающих рисовых полей Сидемена.</x:v>
      </x:c>
      <x:c r="H227" s="47" t="str">
        <x:v>Пешая прогулка среди работающих рисовых полей Сидемена.</x:v>
      </x:c>
      <x:c r="I227" s="47" t="str">
        <x:v>Пешая прогулка среди работающих рисовых полей Сидемена.</x:v>
      </x:c>
      <x:c r="J227" s="4"/>
      <x:c r="K227" s="47" t="str">
        <x:v>Смотровая с платформами и панорамой Агунга.</x:v>
      </x:c>
      <x:c r="L227" s="47" t="str">
        <x:v>Смотровая с платформами и панорамой Агунга.</x:v>
      </x:c>
      <x:c r="M227" s="47" t="str">
        <x:v>Смотровая с платформами и панорамой Агунга.</x:v>
      </x:c>
      <x:c r="N227" s="47" t="str">
        <x:v>Смотровая с платформами и панорамой Агунга.</x:v>
      </x:c>
    </x:row>
    <x:row r="228" ht="18" customHeight="1">
      <x:c r="A228" s="47" t="str">
        <x:v>Прогулка по зелёному гребню от центра Убуда.</x:v>
      </x:c>
      <x:c r="B228" s="47" t="str">
        <x:v>Прогулка по зелёному гребню от центра Убуда.</x:v>
      </x:c>
      <x:c r="C228" s="47" t="str">
        <x:v>Прогулка по зелёному гребню от центра Убуда.</x:v>
      </x:c>
      <x:c r="D228" s="47" t="str">
        <x:v>Прогулка по зелёному гребню от центра Убуда.</x:v>
      </x:c>
      <x:c r="E228" s="4"/>
      <x:c r="F228" s="47" t="str">
        <x:v>Пешая прогулка среди работающих рисовых полей Сидемена.</x:v>
      </x:c>
      <x:c r="G228" s="47" t="str">
        <x:v>Пешая прогулка среди работающих рисовых полей Сидемена.</x:v>
      </x:c>
      <x:c r="H228" s="47" t="str">
        <x:v>Пешая прогулка среди работающих рисовых полей Сидемена.</x:v>
      </x:c>
      <x:c r="I228" s="47" t="str">
        <x:v>Пешая прогулка среди работающих рисовых полей Сидемена.</x:v>
      </x:c>
      <x:c r="J228" s="4"/>
      <x:c r="K228" s="47" t="str">
        <x:v>Смотровая с платформами и панорамой Агунга.</x:v>
      </x:c>
      <x:c r="L228" s="47" t="str">
        <x:v>Смотровая с платформами и панорамой Агунга.</x:v>
      </x:c>
      <x:c r="M228" s="47" t="str">
        <x:v>Смотровая с платформами и панорамой Агунга.</x:v>
      </x:c>
      <x:c r="N228" s="47" t="str">
        <x:v>Смотровая с платформами и панорамой Агунга.</x:v>
      </x:c>
    </x:row>
    <x:row r="229" ht="18" customHeight="1">
      <x:c r="A229" s="48" t="str">
        <x:v>Убуд  •  TA 4.3 / 5  •  Известное</x:v>
      </x:c>
      <x:c r="B229" s="48" t="str">
        <x:v>Убуд  •  TA 4.3 / 5  •  Известное</x:v>
      </x:c>
      <x:c r="C229" s="48" t="str">
        <x:v>Убуд  •  TA 4.3 / 5  •  Известное</x:v>
      </x:c>
      <x:c r="D229" s="48" t="str">
        <x:v>Убуд  •  TA 4.3 / 5  •  Известное</x:v>
      </x:c>
      <x:c r="E229" s="4"/>
      <x:c r="F229" s="48" t="str">
        <x:v>Сидемен  •  TA 4.1 / 5  •  Неочевидное</x:v>
      </x:c>
      <x:c r="G229" s="48" t="str">
        <x:v>Сидемен  •  TA 4.1 / 5  •  Неочевидное</x:v>
      </x:c>
      <x:c r="H229" s="48" t="str">
        <x:v>Сидемен  •  TA 4.1 / 5  •  Неочевидное</x:v>
      </x:c>
      <x:c r="I229" s="48" t="str">
        <x:v>Сидемен  •  TA 4.1 / 5  •  Неочевидное</x:v>
      </x:c>
      <x:c r="J229" s="4"/>
      <x:c r="K229" s="48" t="str">
        <x:v>Амед  •  TA 4.6 / 5  •  Неочевидное</x:v>
      </x:c>
      <x:c r="L229" s="48" t="str">
        <x:v>Амед  •  TA 4.6 / 5  •  Неочевидное</x:v>
      </x:c>
      <x:c r="M229" s="48" t="str">
        <x:v>Амед  •  TA 4.6 / 5  •  Неочевидное</x:v>
      </x:c>
      <x:c r="N229" s="48" t="str">
        <x:v>Амед  •  TA 4.6 / 5  •  Неочевидное</x:v>
      </x:c>
    </x:row>
    <x:row r="230" ht="18" customHeight="1">
      <x:c r="A230" s="8" t="str">
        <x:f>HYPERLINK("#'Места'!A16","В список →")</x:f>
        <x:v>В список →</x:v>
      </x:c>
      <x:c r="B230" s="4"/>
      <x:c r="C230" s="8" t="str">
        <x:f>HYPERLINK("https://dynamic-media-cdn.tripadvisor.com/media/photo-o/06/df/4a/1e/definately-worth-getting.jpg?h=400&amp;s=1&amp;w=700","Источник ↗")</x:f>
        <x:v>Источник ↗</x:v>
      </x:c>
      <x:c r="D230" s="4"/>
      <x:c r="E230" s="4"/>
      <x:c r="F230" s="8" t="str">
        <x:f>HYPERLINK("#'Места'!A81","В список →")</x:f>
        <x:v>В список →</x:v>
      </x:c>
      <x:c r="G230" s="4"/>
      <x:c r="H230" s="8" t="str">
        <x:f>HYPERLINK("https://dynamic-media-cdn.tripadvisor.com/media/photo-o/32/ee/44/b5/caption.jpg?h=-1&amp;s=1&amp;w=1200","Источник ↗")</x:f>
        <x:v>Источник ↗</x:v>
      </x:c>
      <x:c r="I230" s="4"/>
      <x:c r="J230" s="4"/>
      <x:c r="K230" s="8" t="str">
        <x:f>HYPERLINK("#'Места'!A77","В список →")</x:f>
        <x:v>В список →</x:v>
      </x:c>
      <x:c r="L230" s="4"/>
      <x:c r="M230" s="8" t="str">
        <x:f>HYPERLINK("https://dynamic-media-cdn.tripadvisor.com/media/photo-o/27/76/f1/5f/lahangan-sweet.jpg?h=400&amp;s=1&amp;w=700","Источник ↗")</x:f>
        <x:v>Источник ↗</x:v>
      </x:c>
      <x:c r="N230" s="4"/>
    </x:row>
    <x:row r="231" ht="18" customHeight="1">
      <x:c r="A231" s="51" t="str">
        <x:v>49  Bukit Asah</x:v>
      </x:c>
      <x:c r="B231" s="51" t="str">
        <x:v>49  Bukit Asah</x:v>
      </x:c>
      <x:c r="C231" s="51" t="str">
        <x:v>49  Bukit Asah</x:v>
      </x:c>
      <x:c r="D231" s="51" t="str">
        <x:v>49  Bukit Asah</x:v>
      </x:c>
      <x:c r="E231" s="4"/>
      <x:c r="F231" s="51" t="str">
        <x:v>50  Mount Batur</x:v>
      </x:c>
      <x:c r="G231" s="51" t="str">
        <x:v>50  Mount Batur</x:v>
      </x:c>
      <x:c r="H231" s="51" t="str">
        <x:v>50  Mount Batur</x:v>
      </x:c>
      <x:c r="I231" s="51" t="str">
        <x:v>50  Mount Batur</x:v>
      </x:c>
      <x:c r="J231" s="4"/>
      <x:c r="K231" s="51" t="str">
        <x:v>51  Batur Natural Hot Spring</x:v>
      </x:c>
      <x:c r="L231" s="51" t="str">
        <x:v>51  Batur Natural Hot Spring</x:v>
      </x:c>
      <x:c r="M231" s="51" t="str">
        <x:v>51  Batur Natural Hot Spring</x:v>
      </x:c>
      <x:c r="N231" s="51" t="str">
        <x:v>51  Batur Natural Hot Spring</x:v>
      </x:c>
    </x:row>
    <x:row r="232" ht="18" customHeight="1">
      <x:c r="A232" s="51" t="str">
        <x:v>49  Bukit Asah</x:v>
      </x:c>
      <x:c r="B232" s="51" t="str">
        <x:v>49  Bukit Asah</x:v>
      </x:c>
      <x:c r="C232" s="51" t="str">
        <x:v>49  Bukit Asah</x:v>
      </x:c>
      <x:c r="D232" s="51" t="str">
        <x:v>49  Bukit Asah</x:v>
      </x:c>
      <x:c r="E232" s="4"/>
      <x:c r="F232" s="51" t="str">
        <x:v>50  Mount Batur</x:v>
      </x:c>
      <x:c r="G232" s="51" t="str">
        <x:v>50  Mount Batur</x:v>
      </x:c>
      <x:c r="H232" s="51" t="str">
        <x:v>50  Mount Batur</x:v>
      </x:c>
      <x:c r="I232" s="51" t="str">
        <x:v>50  Mount Batur</x:v>
      </x:c>
      <x:c r="J232" s="4"/>
      <x:c r="K232" s="51" t="str">
        <x:v>51  Batur Natural Hot Spring</x:v>
      </x:c>
      <x:c r="L232" s="51" t="str">
        <x:v>51  Batur Natural Hot Spring</x:v>
      </x:c>
      <x:c r="M232" s="51" t="str">
        <x:v>51  Batur Natural Hot Spring</x:v>
      </x:c>
      <x:c r="N232" s="51" t="str">
        <x:v>51  Batur Natural Hot Spring</x:v>
      </x:c>
    </x:row>
    <x:row r="233" ht="18" customHeight="1">
      <x:c r="A233" s="4"/>
      <x:c r="B233" s="4"/>
      <x:c r="C233" s="4"/>
      <x:c r="D233" s="4"/>
      <x:c r="E233" s="4"/>
      <x:c r="F233" s="4"/>
      <x:c r="G233" s="4"/>
      <x:c r="H233" s="4"/>
      <x:c r="I233" s="4"/>
      <x:c r="J233" s="4"/>
      <x:c r="K233" s="4"/>
      <x:c r="L233" s="4"/>
      <x:c r="M233" s="4"/>
      <x:c r="N233" s="4"/>
    </x:row>
    <x:row r="234" ht="18" customHeight="1">
      <x:c r="A234" s="4"/>
      <x:c r="B234" s="4"/>
      <x:c r="C234" s="4"/>
      <x:c r="D234" s="4"/>
      <x:c r="E234" s="4"/>
      <x:c r="F234" s="4"/>
      <x:c r="G234" s="4"/>
      <x:c r="H234" s="4"/>
      <x:c r="I234" s="4"/>
      <x:c r="J234" s="4"/>
      <x:c r="K234" s="4"/>
      <x:c r="L234" s="4"/>
      <x:c r="M234" s="4"/>
      <x:c r="N234" s="4"/>
    </x:row>
    <x:row r="235" ht="18" customHeight="1">
      <x:c r="A235" s="4"/>
      <x:c r="B235" s="4"/>
      <x:c r="C235" s="4"/>
      <x:c r="D235" s="4"/>
      <x:c r="E235" s="4"/>
      <x:c r="F235" s="4"/>
      <x:c r="G235" s="4"/>
      <x:c r="H235" s="4"/>
      <x:c r="I235" s="4"/>
      <x:c r="J235" s="4"/>
      <x:c r="K235" s="4"/>
      <x:c r="L235" s="4"/>
      <x:c r="M235" s="4"/>
      <x:c r="N235" s="4"/>
    </x:row>
    <x:row r="236" ht="18" customHeight="1">
      <x:c r="A236" s="4"/>
      <x:c r="B236" s="4"/>
      <x:c r="C236" s="4"/>
      <x:c r="D236" s="4"/>
      <x:c r="E236" s="4"/>
      <x:c r="F236" s="4"/>
      <x:c r="G236" s="4"/>
      <x:c r="H236" s="4"/>
      <x:c r="I236" s="4"/>
      <x:c r="J236" s="4"/>
      <x:c r="K236" s="4"/>
      <x:c r="L236" s="4"/>
      <x:c r="M236" s="4"/>
      <x:c r="N236" s="4"/>
    </x:row>
    <x:row r="237" ht="18" customHeight="1">
      <x:c r="A237" s="4"/>
      <x:c r="B237" s="4"/>
      <x:c r="C237" s="4"/>
      <x:c r="D237" s="4"/>
      <x:c r="E237" s="4"/>
      <x:c r="F237" s="4"/>
      <x:c r="G237" s="4"/>
      <x:c r="H237" s="4"/>
      <x:c r="I237" s="4"/>
      <x:c r="J237" s="4"/>
      <x:c r="K237" s="4"/>
      <x:c r="L237" s="4"/>
      <x:c r="M237" s="4"/>
      <x:c r="N237" s="4"/>
    </x:row>
    <x:row r="238" ht="18" customHeight="1">
      <x:c r="A238" s="4"/>
      <x:c r="B238" s="4"/>
      <x:c r="C238" s="4"/>
      <x:c r="D238" s="4"/>
      <x:c r="E238" s="4"/>
      <x:c r="F238" s="4"/>
      <x:c r="G238" s="4"/>
      <x:c r="H238" s="4"/>
      <x:c r="I238" s="4"/>
      <x:c r="J238" s="4"/>
      <x:c r="K238" s="4"/>
      <x:c r="L238" s="4"/>
      <x:c r="M238" s="4"/>
      <x:c r="N238" s="4"/>
    </x:row>
    <x:row r="239" ht="18" customHeight="1">
      <x:c r="A239" s="4"/>
      <x:c r="B239" s="4"/>
      <x:c r="C239" s="4"/>
      <x:c r="D239" s="4"/>
      <x:c r="E239" s="4"/>
      <x:c r="F239" s="4"/>
      <x:c r="G239" s="4"/>
      <x:c r="H239" s="4"/>
      <x:c r="I239" s="4"/>
      <x:c r="J239" s="4"/>
      <x:c r="K239" s="4"/>
      <x:c r="L239" s="4"/>
      <x:c r="M239" s="4"/>
      <x:c r="N239" s="4"/>
    </x:row>
    <x:row r="240" ht="18" customHeight="1">
      <x:c r="A240" s="4"/>
      <x:c r="B240" s="4"/>
      <x:c r="C240" s="4"/>
      <x:c r="D240" s="4"/>
      <x:c r="E240" s="4"/>
      <x:c r="F240" s="4"/>
      <x:c r="G240" s="4"/>
      <x:c r="H240" s="4"/>
      <x:c r="I240" s="4"/>
      <x:c r="J240" s="4"/>
      <x:c r="K240" s="4"/>
      <x:c r="L240" s="4"/>
      <x:c r="M240" s="4"/>
      <x:c r="N240" s="4"/>
    </x:row>
    <x:row r="241" ht="18" customHeight="1">
      <x:c r="A241" s="47" t="str">
        <x:v>Холм над морем рядом с Virgin Beach; пейзажная остановка.</x:v>
      </x:c>
      <x:c r="B241" s="47" t="str">
        <x:v>Холм над морем рядом с Virgin Beach; пейзажная остановка.</x:v>
      </x:c>
      <x:c r="C241" s="47" t="str">
        <x:v>Холм над морем рядом с Virgin Beach; пейзажная остановка.</x:v>
      </x:c>
      <x:c r="D241" s="47" t="str">
        <x:v>Холм над морем рядом с Virgin Beach; пейзажная остановка.</x:v>
      </x:c>
      <x:c r="E241" s="4"/>
      <x:c r="F241" s="47" t="str">
        <x:v>Вулканический пейзаж Кинтамани; рассветный трек или вид со стороны.</x:v>
      </x:c>
      <x:c r="G241" s="47" t="str">
        <x:v>Вулканический пейзаж Кинтамани; рассветный трек или вид со стороны.</x:v>
      </x:c>
      <x:c r="H241" s="47" t="str">
        <x:v>Вулканический пейзаж Кинтамани; рассветный трек или вид со стороны.</x:v>
      </x:c>
      <x:c r="I241" s="47" t="str">
        <x:v>Вулканический пейзаж Кинтамани; рассветный трек или вид со стороны.</x:v>
      </x:c>
      <x:c r="J241" s="4"/>
      <x:c r="K241" s="47" t="str">
        <x:v>Тёплые бассейны у озера после прогулок по Кинтамани.</x:v>
      </x:c>
      <x:c r="L241" s="47" t="str">
        <x:v>Тёплые бассейны у озера после прогулок по Кинтамани.</x:v>
      </x:c>
      <x:c r="M241" s="47" t="str">
        <x:v>Тёплые бассейны у озера после прогулок по Кинтамани.</x:v>
      </x:c>
      <x:c r="N241" s="47" t="str">
        <x:v>Тёплые бассейны у озера после прогулок по Кинтамани.</x:v>
      </x:c>
    </x:row>
    <x:row r="242" ht="18" customHeight="1">
      <x:c r="A242" s="47" t="str">
        <x:v>Холм над морем рядом с Virgin Beach; пейзажная остановка.</x:v>
      </x:c>
      <x:c r="B242" s="47" t="str">
        <x:v>Холм над морем рядом с Virgin Beach; пейзажная остановка.</x:v>
      </x:c>
      <x:c r="C242" s="47" t="str">
        <x:v>Холм над морем рядом с Virgin Beach; пейзажная остановка.</x:v>
      </x:c>
      <x:c r="D242" s="47" t="str">
        <x:v>Холм над морем рядом с Virgin Beach; пейзажная остановка.</x:v>
      </x:c>
      <x:c r="E242" s="4"/>
      <x:c r="F242" s="47" t="str">
        <x:v>Вулканический пейзаж Кинтамани; рассветный трек или вид со стороны.</x:v>
      </x:c>
      <x:c r="G242" s="47" t="str">
        <x:v>Вулканический пейзаж Кинтамани; рассветный трек или вид со стороны.</x:v>
      </x:c>
      <x:c r="H242" s="47" t="str">
        <x:v>Вулканический пейзаж Кинтамани; рассветный трек или вид со стороны.</x:v>
      </x:c>
      <x:c r="I242" s="47" t="str">
        <x:v>Вулканический пейзаж Кинтамани; рассветный трек или вид со стороны.</x:v>
      </x:c>
      <x:c r="J242" s="4"/>
      <x:c r="K242" s="47" t="str">
        <x:v>Тёплые бассейны у озера после прогулок по Кинтамани.</x:v>
      </x:c>
      <x:c r="L242" s="47" t="str">
        <x:v>Тёплые бассейны у озера после прогулок по Кинтамани.</x:v>
      </x:c>
      <x:c r="M242" s="47" t="str">
        <x:v>Тёплые бассейны у озера после прогулок по Кинтамани.</x:v>
      </x:c>
      <x:c r="N242" s="47" t="str">
        <x:v>Тёплые бассейны у озера после прогулок по Кинтамани.</x:v>
      </x:c>
    </x:row>
    <x:row r="243" ht="18" customHeight="1">
      <x:c r="A243" s="48" t="str">
        <x:v>Карангасем  •  TA 4.2 / 5  •  Неочевидное</x:v>
      </x:c>
      <x:c r="B243" s="48" t="str">
        <x:v>Карангасем  •  TA 4.2 / 5  •  Неочевидное</x:v>
      </x:c>
      <x:c r="C243" s="48" t="str">
        <x:v>Карангасем  •  TA 4.2 / 5  •  Неочевидное</x:v>
      </x:c>
      <x:c r="D243" s="48" t="str">
        <x:v>Карангасем  •  TA 4.2 / 5  •  Неочевидное</x:v>
      </x:c>
      <x:c r="E243" s="4"/>
      <x:c r="F243" s="48" t="str">
        <x:v>Кинтамани  •  TA 4.3 / 5  •  Известное</x:v>
      </x:c>
      <x:c r="G243" s="48" t="str">
        <x:v>Кинтамани  •  TA 4.3 / 5  •  Известное</x:v>
      </x:c>
      <x:c r="H243" s="48" t="str">
        <x:v>Кинтамани  •  TA 4.3 / 5  •  Известное</x:v>
      </x:c>
      <x:c r="I243" s="48" t="str">
        <x:v>Кинтамани  •  TA 4.3 / 5  •  Известное</x:v>
      </x:c>
      <x:c r="J243" s="4"/>
      <x:c r="K243" s="48" t="str">
        <x:v>Кинтамани  •  TA 3.4 / 5  •  Известное</x:v>
      </x:c>
      <x:c r="L243" s="48" t="str">
        <x:v>Кинтамани  •  TA 3.4 / 5  •  Известное</x:v>
      </x:c>
      <x:c r="M243" s="48" t="str">
        <x:v>Кинтамани  •  TA 3.4 / 5  •  Известное</x:v>
      </x:c>
      <x:c r="N243" s="48" t="str">
        <x:v>Кинтамани  •  TA 3.4 / 5  •  Известное</x:v>
      </x:c>
    </x:row>
    <x:row r="244" ht="18" customHeight="1">
      <x:c r="A244" s="8" t="str">
        <x:f>HYPERLINK("#'Места'!A80","В список →")</x:f>
        <x:v>В список →</x:v>
      </x:c>
      <x:c r="B244" s="4"/>
      <x:c r="C244" s="8" t="str">
        <x:f>HYPERLINK("https://dynamic-media-cdn.tripadvisor.com/media/photo-o/12/0c/5b/24/ocean-view-sunrise.jpg?h=400&amp;s=1&amp;w=700","Источник ↗")</x:f>
        <x:v>Источник ↗</x:v>
      </x:c>
      <x:c r="D244" s="4"/>
      <x:c r="E244" s="4"/>
      <x:c r="F244" s="8" t="str">
        <x:f>HYPERLINK("#'Места'!A26","В список →")</x:f>
        <x:v>В список →</x:v>
      </x:c>
      <x:c r="G244" s="4"/>
      <x:c r="H244" s="8" t="str">
        <x:f>HYPERLINK("https://dynamic-media-cdn.tripadvisor.com/media/photo-o/16/3c/97/95/mt-batur-and-lake-batur.jpg?h=400&amp;s=1&amp;w=700","Источник ↗")</x:f>
        <x:v>Источник ↗</x:v>
      </x:c>
      <x:c r="I244" s="4"/>
      <x:c r="J244" s="4"/>
      <x:c r="K244" s="8" t="str">
        <x:f>HYPERLINK("#'Места'!A57","В список →")</x:f>
        <x:v>В список →</x:v>
      </x:c>
      <x:c r="L244" s="4"/>
      <x:c r="M244" s="8" t="str">
        <x:f>HYPERLINK("https://dynamic-media-cdn.tripadvisor.com/media/photo-o/15/38/2f/1a/20180429-143531-largejpg.jpg?h=400&amp;s=1&amp;w=700","Источник ↗")</x:f>
        <x:v>Источник ↗</x:v>
      </x:c>
      <x:c r="N244" s="4"/>
    </x:row>
    <x:row r="245" ht="18" customHeight="1">
      <x:c r="A245" s="51" t="str">
        <x:v>52  Tamblingan Lake</x:v>
      </x:c>
      <x:c r="B245" s="51" t="str">
        <x:v>52  Tamblingan Lake</x:v>
      </x:c>
      <x:c r="C245" s="51" t="str">
        <x:v>52  Tamblingan Lake</x:v>
      </x:c>
      <x:c r="D245" s="51" t="str">
        <x:v>52  Tamblingan Lake</x:v>
      </x:c>
      <x:c r="E245" s="4"/>
      <x:c r="F245" s="51" t="str">
        <x:v>53  Sangeh Monkey Forest</x:v>
      </x:c>
      <x:c r="G245" s="51" t="str">
        <x:v>53  Sangeh Monkey Forest</x:v>
      </x:c>
      <x:c r="H245" s="51" t="str">
        <x:v>53  Sangeh Monkey Forest</x:v>
      </x:c>
      <x:c r="I245" s="51" t="str">
        <x:v>53  Sangeh Monkey Forest</x:v>
      </x:c>
      <x:c r="J245" s="4"/>
      <x:c r="K245" s="51" t="str">
        <x:v>54  Bali Botanic Garden</x:v>
      </x:c>
      <x:c r="L245" s="51" t="str">
        <x:v>54  Bali Botanic Garden</x:v>
      </x:c>
      <x:c r="M245" s="51" t="str">
        <x:v>54  Bali Botanic Garden</x:v>
      </x:c>
      <x:c r="N245" s="51" t="str">
        <x:v>54  Bali Botanic Garden</x:v>
      </x:c>
    </x:row>
    <x:row r="246" ht="18" customHeight="1">
      <x:c r="A246" s="51" t="str">
        <x:v>52  Tamblingan Lake</x:v>
      </x:c>
      <x:c r="B246" s="51" t="str">
        <x:v>52  Tamblingan Lake</x:v>
      </x:c>
      <x:c r="C246" s="51" t="str">
        <x:v>52  Tamblingan Lake</x:v>
      </x:c>
      <x:c r="D246" s="51" t="str">
        <x:v>52  Tamblingan Lake</x:v>
      </x:c>
      <x:c r="E246" s="4"/>
      <x:c r="F246" s="51" t="str">
        <x:v>53  Sangeh Monkey Forest</x:v>
      </x:c>
      <x:c r="G246" s="51" t="str">
        <x:v>53  Sangeh Monkey Forest</x:v>
      </x:c>
      <x:c r="H246" s="51" t="str">
        <x:v>53  Sangeh Monkey Forest</x:v>
      </x:c>
      <x:c r="I246" s="51" t="str">
        <x:v>53  Sangeh Monkey Forest</x:v>
      </x:c>
      <x:c r="J246" s="4"/>
      <x:c r="K246" s="51" t="str">
        <x:v>54  Bali Botanic Garden</x:v>
      </x:c>
      <x:c r="L246" s="51" t="str">
        <x:v>54  Bali Botanic Garden</x:v>
      </x:c>
      <x:c r="M246" s="51" t="str">
        <x:v>54  Bali Botanic Garden</x:v>
      </x:c>
      <x:c r="N246" s="51" t="str">
        <x:v>54  Bali Botanic Garden</x:v>
      </x:c>
    </x:row>
    <x:row r="247" ht="18" customHeight="1">
      <x:c r="A247" s="4"/>
      <x:c r="B247" s="4"/>
      <x:c r="C247" s="4"/>
      <x:c r="D247" s="4"/>
      <x:c r="E247" s="4"/>
      <x:c r="F247" s="4"/>
      <x:c r="G247" s="4"/>
      <x:c r="H247" s="4"/>
      <x:c r="I247" s="4"/>
      <x:c r="J247" s="4"/>
      <x:c r="K247" s="4"/>
      <x:c r="L247" s="4"/>
      <x:c r="M247" s="4"/>
      <x:c r="N247" s="4"/>
    </x:row>
    <x:row r="248" ht="18" customHeight="1">
      <x:c r="A248" s="4"/>
      <x:c r="B248" s="4"/>
      <x:c r="C248" s="4"/>
      <x:c r="D248" s="4"/>
      <x:c r="E248" s="4"/>
      <x:c r="F248" s="4"/>
      <x:c r="G248" s="4"/>
      <x:c r="H248" s="4"/>
      <x:c r="I248" s="4"/>
      <x:c r="J248" s="4"/>
      <x:c r="K248" s="4"/>
      <x:c r="L248" s="4"/>
      <x:c r="M248" s="4"/>
      <x:c r="N248" s="4"/>
    </x:row>
    <x:row r="249" ht="18" customHeight="1">
      <x:c r="A249" s="4"/>
      <x:c r="B249" s="4"/>
      <x:c r="C249" s="4"/>
      <x:c r="D249" s="4"/>
      <x:c r="E249" s="4"/>
      <x:c r="F249" s="4"/>
      <x:c r="G249" s="4"/>
      <x:c r="H249" s="4"/>
      <x:c r="I249" s="4"/>
      <x:c r="J249" s="4"/>
      <x:c r="K249" s="4"/>
      <x:c r="L249" s="4"/>
      <x:c r="M249" s="4"/>
      <x:c r="N249" s="4"/>
    </x:row>
    <x:row r="250" ht="18" customHeight="1">
      <x:c r="A250" s="4"/>
      <x:c r="B250" s="4"/>
      <x:c r="C250" s="4"/>
      <x:c r="D250" s="4"/>
      <x:c r="E250" s="4"/>
      <x:c r="F250" s="4"/>
      <x:c r="G250" s="4"/>
      <x:c r="H250" s="4"/>
      <x:c r="I250" s="4"/>
      <x:c r="J250" s="4"/>
      <x:c r="K250" s="4"/>
      <x:c r="L250" s="4"/>
      <x:c r="M250" s="4"/>
      <x:c r="N250" s="4"/>
    </x:row>
    <x:row r="251" ht="18" customHeight="1">
      <x:c r="A251" s="4"/>
      <x:c r="B251" s="4"/>
      <x:c r="C251" s="4"/>
      <x:c r="D251" s="4"/>
      <x:c r="E251" s="4"/>
      <x:c r="F251" s="4"/>
      <x:c r="G251" s="4"/>
      <x:c r="H251" s="4"/>
      <x:c r="I251" s="4"/>
      <x:c r="J251" s="4"/>
      <x:c r="K251" s="4"/>
      <x:c r="L251" s="4"/>
      <x:c r="M251" s="4"/>
      <x:c r="N251" s="4"/>
    </x:row>
    <x:row r="252" ht="18" customHeight="1">
      <x:c r="A252" s="4"/>
      <x:c r="B252" s="4"/>
      <x:c r="C252" s="4"/>
      <x:c r="D252" s="4"/>
      <x:c r="E252" s="4"/>
      <x:c r="F252" s="4"/>
      <x:c r="G252" s="4"/>
      <x:c r="H252" s="4"/>
      <x:c r="I252" s="4"/>
      <x:c r="J252" s="4"/>
      <x:c r="K252" s="4"/>
      <x:c r="L252" s="4"/>
      <x:c r="M252" s="4"/>
      <x:c r="N252" s="4"/>
    </x:row>
    <x:row r="253" ht="18" customHeight="1">
      <x:c r="A253" s="4"/>
      <x:c r="B253" s="4"/>
      <x:c r="C253" s="4"/>
      <x:c r="D253" s="4"/>
      <x:c r="E253" s="4"/>
      <x:c r="F253" s="4"/>
      <x:c r="G253" s="4"/>
      <x:c r="H253" s="4"/>
      <x:c r="I253" s="4"/>
      <x:c r="J253" s="4"/>
      <x:c r="K253" s="4"/>
      <x:c r="L253" s="4"/>
      <x:c r="M253" s="4"/>
      <x:c r="N253" s="4"/>
    </x:row>
    <x:row r="254" ht="18" customHeight="1">
      <x:c r="A254" s="4"/>
      <x:c r="B254" s="4"/>
      <x:c r="C254" s="4"/>
      <x:c r="D254" s="4"/>
      <x:c r="E254" s="4"/>
      <x:c r="F254" s="4"/>
      <x:c r="G254" s="4"/>
      <x:c r="H254" s="4"/>
      <x:c r="I254" s="4"/>
      <x:c r="J254" s="4"/>
      <x:c r="K254" s="4"/>
      <x:c r="L254" s="4"/>
      <x:c r="M254" s="4"/>
      <x:c r="N254" s="4"/>
    </x:row>
    <x:row r="255" ht="18" customHeight="1">
      <x:c r="A255" s="47" t="str">
        <x:v>Горное озеро, туман и лес; вариант для спокойного северного дня.</x:v>
      </x:c>
      <x:c r="B255" s="47" t="str">
        <x:v>Горное озеро, туман и лес; вариант для спокойного северного дня.</x:v>
      </x:c>
      <x:c r="C255" s="47" t="str">
        <x:v>Горное озеро, туман и лес; вариант для спокойного северного дня.</x:v>
      </x:c>
      <x:c r="D255" s="47" t="str">
        <x:v>Горное озеро, туман и лес; вариант для спокойного северного дня.</x:v>
      </x:c>
      <x:c r="E255" s="4"/>
      <x:c r="F255" s="47" t="str">
        <x:v>Лес высоких деревьев с обезьянами за пределами центрального Убуда.</x:v>
      </x:c>
      <x:c r="G255" s="47" t="str">
        <x:v>Лес высоких деревьев с обезьянами за пределами центрального Убуда.</x:v>
      </x:c>
      <x:c r="H255" s="47" t="str">
        <x:v>Лес высоких деревьев с обезьянами за пределами центрального Убуда.</x:v>
      </x:c>
      <x:c r="I255" s="47" t="str">
        <x:v>Лес высоких деревьев с обезьянами за пределами центрального Убуда.</x:v>
      </x:c>
      <x:c r="J255" s="4"/>
      <x:c r="K255" s="47" t="str">
        <x:v>Большой ботанический сад в прохладном Бедугуле.</x:v>
      </x:c>
      <x:c r="L255" s="47" t="str">
        <x:v>Большой ботанический сад в прохладном Бедугуле.</x:v>
      </x:c>
      <x:c r="M255" s="47" t="str">
        <x:v>Большой ботанический сад в прохладном Бедугуле.</x:v>
      </x:c>
      <x:c r="N255" s="47" t="str">
        <x:v>Большой ботанический сад в прохладном Бедугуле.</x:v>
      </x:c>
    </x:row>
    <x:row r="256" ht="18" customHeight="1">
      <x:c r="A256" s="47" t="str">
        <x:v>Горное озеро, туман и лес; вариант для спокойного северного дня.</x:v>
      </x:c>
      <x:c r="B256" s="47" t="str">
        <x:v>Горное озеро, туман и лес; вариант для спокойного северного дня.</x:v>
      </x:c>
      <x:c r="C256" s="47" t="str">
        <x:v>Горное озеро, туман и лес; вариант для спокойного северного дня.</x:v>
      </x:c>
      <x:c r="D256" s="47" t="str">
        <x:v>Горное озеро, туман и лес; вариант для спокойного северного дня.</x:v>
      </x:c>
      <x:c r="E256" s="4"/>
      <x:c r="F256" s="47" t="str">
        <x:v>Лес высоких деревьев с обезьянами за пределами центрального Убуда.</x:v>
      </x:c>
      <x:c r="G256" s="47" t="str">
        <x:v>Лес высоких деревьев с обезьянами за пределами центрального Убуда.</x:v>
      </x:c>
      <x:c r="H256" s="47" t="str">
        <x:v>Лес высоких деревьев с обезьянами за пределами центрального Убуда.</x:v>
      </x:c>
      <x:c r="I256" s="47" t="str">
        <x:v>Лес высоких деревьев с обезьянами за пределами центрального Убуда.</x:v>
      </x:c>
      <x:c r="J256" s="4"/>
      <x:c r="K256" s="47" t="str">
        <x:v>Большой ботанический сад в прохладном Бедугуле.</x:v>
      </x:c>
      <x:c r="L256" s="47" t="str">
        <x:v>Большой ботанический сад в прохладном Бедугуле.</x:v>
      </x:c>
      <x:c r="M256" s="47" t="str">
        <x:v>Большой ботанический сад в прохладном Бедугуле.</x:v>
      </x:c>
      <x:c r="N256" s="47" t="str">
        <x:v>Большой ботанический сад в прохладном Бедугуле.</x:v>
      </x:c>
    </x:row>
    <x:row r="257" ht="18" customHeight="1">
      <x:c r="A257" s="48" t="str">
        <x:v>Мундук  •  TA 4.4 / 5  •  Неочевидное</x:v>
      </x:c>
      <x:c r="B257" s="48" t="str">
        <x:v>Мундук  •  TA 4.4 / 5  •  Неочевидное</x:v>
      </x:c>
      <x:c r="C257" s="48" t="str">
        <x:v>Мундук  •  TA 4.4 / 5  •  Неочевидное</x:v>
      </x:c>
      <x:c r="D257" s="48" t="str">
        <x:v>Мундук  •  TA 4.4 / 5  •  Неочевидное</x:v>
      </x:c>
      <x:c r="E257" s="4"/>
      <x:c r="F257" s="48" t="str">
        <x:v>Менгви  •  TA 4.3 / 5  •  Неочевидное</x:v>
      </x:c>
      <x:c r="G257" s="48" t="str">
        <x:v>Менгви  •  TA 4.3 / 5  •  Неочевидное</x:v>
      </x:c>
      <x:c r="H257" s="48" t="str">
        <x:v>Менгви  •  TA 4.3 / 5  •  Неочевидное</x:v>
      </x:c>
      <x:c r="I257" s="48" t="str">
        <x:v>Менгви  •  TA 4.3 / 5  •  Неочевидное</x:v>
      </x:c>
      <x:c r="J257" s="4"/>
      <x:c r="K257" s="48" t="str">
        <x:v>Бедугул  •  TA 4.1 / 5  •  Известное</x:v>
      </x:c>
      <x:c r="L257" s="48" t="str">
        <x:v>Бедугул  •  TA 4.1 / 5  •  Известное</x:v>
      </x:c>
      <x:c r="M257" s="48" t="str">
        <x:v>Бедугул  •  TA 4.1 / 5  •  Известное</x:v>
      </x:c>
      <x:c r="N257" s="48" t="str">
        <x:v>Бедугул  •  TA 4.1 / 5  •  Известное</x:v>
      </x:c>
    </x:row>
    <x:row r="258" ht="18" customHeight="1">
      <x:c r="A258" s="8" t="str">
        <x:f>HYPERLINK("#'Места'!A67","В список →")</x:f>
        <x:v>В список →</x:v>
      </x:c>
      <x:c r="B258" s="4"/>
      <x:c r="C258" s="8" t="str">
        <x:f>HYPERLINK("https://dynamic-media-cdn.tripadvisor.com/media/photo-o/0f/df/15/b5/tamblingan-lake.jpg?h=400&amp;s=1&amp;w=700","Источник ↗")</x:f>
        <x:v>Источник ↗</x:v>
      </x:c>
      <x:c r="D258" s="4"/>
      <x:c r="E258" s="4"/>
      <x:c r="F258" s="8" t="str">
        <x:f>HYPERLINK("#'Места'!A49","В список →")</x:f>
        <x:v>В список →</x:v>
      </x:c>
      <x:c r="G258" s="4"/>
      <x:c r="H258" s="8" t="str">
        <x:f>HYPERLINK("https://dynamic-media-cdn.tripadvisor.com/media/photo-o/0e/3d/42/62/inside-view.jpg?h=400&amp;s=1&amp;w=700","Источник ↗")</x:f>
        <x:v>Источник ↗</x:v>
      </x:c>
      <x:c r="I258" s="4"/>
      <x:c r="J258" s="4"/>
      <x:c r="K258" s="8" t="str">
        <x:f>HYPERLINK("#'Места'!A50","В список →")</x:f>
        <x:v>В список →</x:v>
      </x:c>
      <x:c r="L258" s="4"/>
      <x:c r="M258" s="8" t="str">
        <x:f>HYPERLINK("https://dynamic-media-cdn.tripadvisor.com/media/photo-o/28/1c/fb/fd/bali-botanic-garden.jpg?h=400&amp;s=1&amp;w=700","Источник ↗")</x:f>
        <x:v>Источник ↗</x:v>
      </x:c>
      <x:c r="N258" s="4"/>
    </x:row>
    <x:row r="259" ht="18" customHeight="1">
      <x:c r="A259" s="51" t="str">
        <x:v>55  Bunut Bolong</x:v>
      </x:c>
      <x:c r="B259" s="51" t="str">
        <x:v>55  Bunut Bolong</x:v>
      </x:c>
      <x:c r="C259" s="51" t="str">
        <x:v>55  Bunut Bolong</x:v>
      </x:c>
      <x:c r="D259" s="51" t="str">
        <x:v>55  Bunut Bolong</x:v>
      </x:c>
      <x:c r="E259" s="4"/>
      <x:c r="F259" s="51" t="str">
        <x:v>56  Savana Tianyar</x:v>
      </x:c>
      <x:c r="G259" s="51" t="str">
        <x:v>56  Savana Tianyar</x:v>
      </x:c>
      <x:c r="H259" s="51" t="str">
        <x:v>56  Savana Tianyar</x:v>
      </x:c>
      <x:c r="I259" s="51" t="str">
        <x:v>56  Savana Tianyar</x:v>
      </x:c>
      <x:c r="J259" s="4"/>
      <x:c r="K259" s="50" t="str">
        <x:v>57  Tenganan Ancient Village</x:v>
      </x:c>
      <x:c r="L259" s="50" t="str">
        <x:v>57  Tenganan Ancient Village</x:v>
      </x:c>
      <x:c r="M259" s="50" t="str">
        <x:v>57  Tenganan Ancient Village</x:v>
      </x:c>
      <x:c r="N259" s="50" t="str">
        <x:v>57  Tenganan Ancient Village</x:v>
      </x:c>
    </x:row>
    <x:row r="260" ht="18" customHeight="1">
      <x:c r="A260" s="51" t="str">
        <x:v>55  Bunut Bolong</x:v>
      </x:c>
      <x:c r="B260" s="51" t="str">
        <x:v>55  Bunut Bolong</x:v>
      </x:c>
      <x:c r="C260" s="51" t="str">
        <x:v>55  Bunut Bolong</x:v>
      </x:c>
      <x:c r="D260" s="51" t="str">
        <x:v>55  Bunut Bolong</x:v>
      </x:c>
      <x:c r="E260" s="4"/>
      <x:c r="F260" s="51" t="str">
        <x:v>56  Savana Tianyar</x:v>
      </x:c>
      <x:c r="G260" s="51" t="str">
        <x:v>56  Savana Tianyar</x:v>
      </x:c>
      <x:c r="H260" s="51" t="str">
        <x:v>56  Savana Tianyar</x:v>
      </x:c>
      <x:c r="I260" s="51" t="str">
        <x:v>56  Savana Tianyar</x:v>
      </x:c>
      <x:c r="J260" s="4"/>
      <x:c r="K260" s="50" t="str">
        <x:v>57  Tenganan Ancient Village</x:v>
      </x:c>
      <x:c r="L260" s="50" t="str">
        <x:v>57  Tenganan Ancient Village</x:v>
      </x:c>
      <x:c r="M260" s="50" t="str">
        <x:v>57  Tenganan Ancient Village</x:v>
      </x:c>
      <x:c r="N260" s="50" t="str">
        <x:v>57  Tenganan Ancient Village</x:v>
      </x:c>
    </x:row>
    <x:row r="261" ht="18" customHeight="1">
      <x:c r="A261" s="4"/>
      <x:c r="B261" s="4"/>
      <x:c r="C261" s="4"/>
      <x:c r="D261" s="4"/>
      <x:c r="E261" s="4"/>
      <x:c r="F261" s="4"/>
      <x:c r="G261" s="4"/>
      <x:c r="H261" s="4"/>
      <x:c r="I261" s="4"/>
      <x:c r="J261" s="4"/>
      <x:c r="K261" s="4"/>
      <x:c r="L261" s="4"/>
      <x:c r="M261" s="4"/>
      <x:c r="N261" s="4"/>
    </x:row>
    <x:row r="262" ht="18" customHeight="1">
      <x:c r="A262" s="4"/>
      <x:c r="B262" s="4"/>
      <x:c r="C262" s="4"/>
      <x:c r="D262" s="4"/>
      <x:c r="E262" s="4"/>
      <x:c r="F262" s="4"/>
      <x:c r="G262" s="4"/>
      <x:c r="H262" s="4"/>
      <x:c r="I262" s="4"/>
      <x:c r="J262" s="4"/>
      <x:c r="K262" s="4"/>
      <x:c r="L262" s="4"/>
      <x:c r="M262" s="4"/>
      <x:c r="N262" s="4"/>
    </x:row>
    <x:row r="263" ht="18" customHeight="1">
      <x:c r="A263" s="4"/>
      <x:c r="B263" s="4"/>
      <x:c r="C263" s="4"/>
      <x:c r="D263" s="4"/>
      <x:c r="E263" s="4"/>
      <x:c r="F263" s="4"/>
      <x:c r="G263" s="4"/>
      <x:c r="H263" s="4"/>
      <x:c r="I263" s="4"/>
      <x:c r="J263" s="4"/>
      <x:c r="K263" s="4"/>
      <x:c r="L263" s="4"/>
      <x:c r="M263" s="4"/>
      <x:c r="N263" s="4"/>
    </x:row>
    <x:row r="264" ht="18" customHeight="1">
      <x:c r="A264" s="4"/>
      <x:c r="B264" s="4"/>
      <x:c r="C264" s="4"/>
      <x:c r="D264" s="4"/>
      <x:c r="E264" s="4"/>
      <x:c r="F264" s="4"/>
      <x:c r="G264" s="4"/>
      <x:c r="H264" s="4"/>
      <x:c r="I264" s="4"/>
      <x:c r="J264" s="4"/>
      <x:c r="K264" s="4"/>
      <x:c r="L264" s="4"/>
      <x:c r="M264" s="4"/>
      <x:c r="N264" s="4"/>
    </x:row>
    <x:row r="265" ht="18" customHeight="1">
      <x:c r="A265" s="4"/>
      <x:c r="B265" s="4"/>
      <x:c r="C265" s="4"/>
      <x:c r="D265" s="4"/>
      <x:c r="E265" s="4"/>
      <x:c r="F265" s="4"/>
      <x:c r="G265" s="4"/>
      <x:c r="H265" s="4"/>
      <x:c r="I265" s="4"/>
      <x:c r="J265" s="4"/>
      <x:c r="K265" s="4"/>
      <x:c r="L265" s="4"/>
      <x:c r="M265" s="4"/>
      <x:c r="N265" s="4"/>
    </x:row>
    <x:row r="266" ht="18" customHeight="1">
      <x:c r="A266" s="4"/>
      <x:c r="B266" s="4"/>
      <x:c r="C266" s="4"/>
      <x:c r="D266" s="4"/>
      <x:c r="E266" s="4"/>
      <x:c r="F266" s="4"/>
      <x:c r="G266" s="4"/>
      <x:c r="H266" s="4"/>
      <x:c r="I266" s="4"/>
      <x:c r="J266" s="4"/>
      <x:c r="K266" s="4"/>
      <x:c r="L266" s="4"/>
      <x:c r="M266" s="4"/>
      <x:c r="N266" s="4"/>
    </x:row>
    <x:row r="267" ht="18" customHeight="1">
      <x:c r="A267" s="4"/>
      <x:c r="B267" s="4"/>
      <x:c r="C267" s="4"/>
      <x:c r="D267" s="4"/>
      <x:c r="E267" s="4"/>
      <x:c r="F267" s="4"/>
      <x:c r="G267" s="4"/>
      <x:c r="H267" s="4"/>
      <x:c r="I267" s="4"/>
      <x:c r="J267" s="4"/>
      <x:c r="K267" s="4"/>
      <x:c r="L267" s="4"/>
      <x:c r="M267" s="4"/>
      <x:c r="N267" s="4"/>
    </x:row>
    <x:row r="268" ht="18" customHeight="1">
      <x:c r="A268" s="4"/>
      <x:c r="B268" s="4"/>
      <x:c r="C268" s="4"/>
      <x:c r="D268" s="4"/>
      <x:c r="E268" s="4"/>
      <x:c r="F268" s="4"/>
      <x:c r="G268" s="4"/>
      <x:c r="H268" s="4"/>
      <x:c r="I268" s="4"/>
      <x:c r="J268" s="4"/>
      <x:c r="K268" s="4"/>
      <x:c r="L268" s="4"/>
      <x:c r="M268" s="4"/>
      <x:c r="N268" s="4"/>
    </x:row>
    <x:row r="269" ht="18" customHeight="1">
      <x:c r="A269" s="47" t="str">
        <x:v>Большое дерево с проездом через ствол; короткая остановка на западе.</x:v>
      </x:c>
      <x:c r="B269" s="47" t="str">
        <x:v>Большое дерево с проездом через ствол; короткая остановка на западе.</x:v>
      </x:c>
      <x:c r="C269" s="47" t="str">
        <x:v>Большое дерево с проездом через ствол; короткая остановка на западе.</x:v>
      </x:c>
      <x:c r="D269" s="47" t="str">
        <x:v>Большое дерево с проездом через ствол; короткая остановка на западе.</x:v>
      </x:c>
      <x:c r="E269" s="4"/>
      <x:c r="F269" s="47" t="str">
        <x:v>Открытые травяные поля у северного подножия Агунга.</x:v>
      </x:c>
      <x:c r="G269" s="47" t="str">
        <x:v>Открытые травяные поля у северного подножия Агунга.</x:v>
      </x:c>
      <x:c r="H269" s="47" t="str">
        <x:v>Открытые травяные поля у северного подножия Агунга.</x:v>
      </x:c>
      <x:c r="I269" s="47" t="str">
        <x:v>Открытые травяные поля у северного подножия Агунга.</x:v>
      </x:c>
      <x:c r="J269" s="4"/>
      <x:c r="K269" s="47" t="str">
        <x:v>Деревня Тенганан, традиционное ткачество и местная культура.</x:v>
      </x:c>
      <x:c r="L269" s="47" t="str">
        <x:v>Деревня Тенганан, традиционное ткачество и местная культура.</x:v>
      </x:c>
      <x:c r="M269" s="47" t="str">
        <x:v>Деревня Тенганан, традиционное ткачество и местная культура.</x:v>
      </x:c>
      <x:c r="N269" s="47" t="str">
        <x:v>Деревня Тенганан, традиционное ткачество и местная культура.</x:v>
      </x:c>
    </x:row>
    <x:row r="270" ht="18" customHeight="1">
      <x:c r="A270" s="47" t="str">
        <x:v>Большое дерево с проездом через ствол; короткая остановка на западе.</x:v>
      </x:c>
      <x:c r="B270" s="47" t="str">
        <x:v>Большое дерево с проездом через ствол; короткая остановка на западе.</x:v>
      </x:c>
      <x:c r="C270" s="47" t="str">
        <x:v>Большое дерево с проездом через ствол; короткая остановка на западе.</x:v>
      </x:c>
      <x:c r="D270" s="47" t="str">
        <x:v>Большое дерево с проездом через ствол; короткая остановка на западе.</x:v>
      </x:c>
      <x:c r="E270" s="4"/>
      <x:c r="F270" s="47" t="str">
        <x:v>Открытые травяные поля у северного подножия Агунга.</x:v>
      </x:c>
      <x:c r="G270" s="47" t="str">
        <x:v>Открытые травяные поля у северного подножия Агунга.</x:v>
      </x:c>
      <x:c r="H270" s="47" t="str">
        <x:v>Открытые травяные поля у северного подножия Агунга.</x:v>
      </x:c>
      <x:c r="I270" s="47" t="str">
        <x:v>Открытые травяные поля у северного подножия Агунга.</x:v>
      </x:c>
      <x:c r="J270" s="4"/>
      <x:c r="K270" s="47" t="str">
        <x:v>Деревня Тенганан, традиционное ткачество и местная культура.</x:v>
      </x:c>
      <x:c r="L270" s="47" t="str">
        <x:v>Деревня Тенганан, традиционное ткачество и местная культура.</x:v>
      </x:c>
      <x:c r="M270" s="47" t="str">
        <x:v>Деревня Тенганан, традиционное ткачество и местная культура.</x:v>
      </x:c>
      <x:c r="N270" s="47" t="str">
        <x:v>Деревня Тенганан, традиционное ткачество и местная культура.</x:v>
      </x:c>
    </x:row>
    <x:row r="271" ht="18" customHeight="1">
      <x:c r="A271" s="48" t="str">
        <x:v>Запад  •  TA 4.2 / 5  •  Неочевидное</x:v>
      </x:c>
      <x:c r="B271" s="48" t="str">
        <x:v>Запад  •  TA 4.2 / 5  •  Неочевидное</x:v>
      </x:c>
      <x:c r="C271" s="48" t="str">
        <x:v>Запад  •  TA 4.2 / 5  •  Неочевидное</x:v>
      </x:c>
      <x:c r="D271" s="48" t="str">
        <x:v>Запад  •  TA 4.2 / 5  •  Неочевидное</x:v>
      </x:c>
      <x:c r="E271" s="4"/>
      <x:c r="F271" s="48" t="str">
        <x:v>Тианьяр  •  Google* 4.5 / 5  •  Неочевидное</x:v>
      </x:c>
      <x:c r="G271" s="48" t="str">
        <x:v>Тианьяр  •  Google* 4.5 / 5  •  Неочевидное</x:v>
      </x:c>
      <x:c r="H271" s="48" t="str">
        <x:v>Тианьяр  •  Google* 4.5 / 5  •  Неочевидное</x:v>
      </x:c>
      <x:c r="I271" s="48" t="str">
        <x:v>Тианьяр  •  Google* 4.5 / 5  •  Неочевидное</x:v>
      </x:c>
      <x:c r="J271" s="4"/>
      <x:c r="K271" s="48" t="str">
        <x:v>Карангасем  •  TA 3.4 / 5  •  Неочевидное</x:v>
      </x:c>
      <x:c r="L271" s="48" t="str">
        <x:v>Карангасем  •  TA 3.4 / 5  •  Неочевидное</x:v>
      </x:c>
      <x:c r="M271" s="48" t="str">
        <x:v>Карангасем  •  TA 3.4 / 5  •  Неочевидное</x:v>
      </x:c>
      <x:c r="N271" s="48" t="str">
        <x:v>Карангасем  •  TA 3.4 / 5  •  Неочевидное</x:v>
      </x:c>
    </x:row>
    <x:row r="272" ht="18" customHeight="1">
      <x:c r="A272" s="8" t="str">
        <x:f>HYPERLINK("#'Места'!A74","В список →")</x:f>
        <x:v>В список →</x:v>
      </x:c>
      <x:c r="B272" s="4"/>
      <x:c r="C272" s="8" t="str">
        <x:f>HYPERLINK("https://dynamic-media-cdn.tripadvisor.com/media/photo-o/0a/c8/06/75/arbol.jpg?h=300&amp;s=1&amp;w=400","Источник ↗")</x:f>
        <x:v>Источник ↗</x:v>
      </x:c>
      <x:c r="D272" s="4"/>
      <x:c r="E272" s="4"/>
      <x:c r="F272" s="8" t="str">
        <x:f>HYPERLINK("#'Места'!A83","В список →")</x:f>
        <x:v>В список →</x:v>
      </x:c>
      <x:c r="G272" s="4"/>
      <x:c r="H272" s="8" t="str">
        <x:f>HYPERLINK("https://itin-dev.wanderlogstatic.com/freeImage/0kkSADv9UZJeBOVIeluqKm1m9dc5nt4Z","Источник ↗")</x:f>
        <x:v>Источник ↗</x:v>
      </x:c>
      <x:c r="I272" s="4"/>
      <x:c r="J272" s="4"/>
      <x:c r="K272" s="8" t="str">
        <x:f>HYPERLINK("#'Места'!A46","В список →")</x:f>
        <x:v>В список →</x:v>
      </x:c>
      <x:c r="L272" s="4"/>
      <x:c r="M272" s="8" t="str">
        <x:f>HYPERLINK("https://dynamic-media-cdn.tripadvisor.com/media/photo-o/0f/6b/4b/3e/le-village.jpg?h=400&amp;s=1&amp;w=700","Источник ↗")</x:f>
        <x:v>Источник ↗</x:v>
      </x:c>
      <x:c r="N272" s="4"/>
    </x:row>
    <x:row r="273" ht="18" customHeight="1">
      <x:c r="A273" s="51" t="str">
        <x:v>58  Bali Butterfly Park</x:v>
      </x:c>
      <x:c r="B273" s="51" t="str">
        <x:v>58  Bali Butterfly Park</x:v>
      </x:c>
      <x:c r="C273" s="51" t="str">
        <x:v>58  Bali Butterfly Park</x:v>
      </x:c>
      <x:c r="D273" s="51" t="str">
        <x:v>58  Bali Butterfly Park</x:v>
      </x:c>
      <x:c r="E273" s="4"/>
      <x:c r="F273" s="51" t="str">
        <x:v>59  Beji Guwang Hidden Canyon</x:v>
      </x:c>
      <x:c r="G273" s="51" t="str">
        <x:v>59  Beji Guwang Hidden Canyon</x:v>
      </x:c>
      <x:c r="H273" s="51" t="str">
        <x:v>59  Beji Guwang Hidden Canyon</x:v>
      </x:c>
      <x:c r="I273" s="51" t="str">
        <x:v>59  Beji Guwang Hidden Canyon</x:v>
      </x:c>
      <x:c r="J273" s="4"/>
      <x:c r="K273" s="52" t="str">
        <x:v>60  Ibu Oka 3</x:v>
      </x:c>
      <x:c r="L273" s="52" t="str">
        <x:v>60  Ibu Oka 3</x:v>
      </x:c>
      <x:c r="M273" s="52" t="str">
        <x:v>60  Ibu Oka 3</x:v>
      </x:c>
      <x:c r="N273" s="52" t="str">
        <x:v>60  Ibu Oka 3</x:v>
      </x:c>
    </x:row>
    <x:row r="274" ht="18" customHeight="1">
      <x:c r="A274" s="51" t="str">
        <x:v>58  Bali Butterfly Park</x:v>
      </x:c>
      <x:c r="B274" s="51" t="str">
        <x:v>58  Bali Butterfly Park</x:v>
      </x:c>
      <x:c r="C274" s="51" t="str">
        <x:v>58  Bali Butterfly Park</x:v>
      </x:c>
      <x:c r="D274" s="51" t="str">
        <x:v>58  Bali Butterfly Park</x:v>
      </x:c>
      <x:c r="E274" s="4"/>
      <x:c r="F274" s="51" t="str">
        <x:v>59  Beji Guwang Hidden Canyon</x:v>
      </x:c>
      <x:c r="G274" s="51" t="str">
        <x:v>59  Beji Guwang Hidden Canyon</x:v>
      </x:c>
      <x:c r="H274" s="51" t="str">
        <x:v>59  Beji Guwang Hidden Canyon</x:v>
      </x:c>
      <x:c r="I274" s="51" t="str">
        <x:v>59  Beji Guwang Hidden Canyon</x:v>
      </x:c>
      <x:c r="J274" s="4"/>
      <x:c r="K274" s="52" t="str">
        <x:v>60  Ibu Oka 3</x:v>
      </x:c>
      <x:c r="L274" s="52" t="str">
        <x:v>60  Ibu Oka 3</x:v>
      </x:c>
      <x:c r="M274" s="52" t="str">
        <x:v>60  Ibu Oka 3</x:v>
      </x:c>
      <x:c r="N274" s="52" t="str">
        <x:v>60  Ibu Oka 3</x:v>
      </x:c>
    </x:row>
    <x:row r="275" ht="18" customHeight="1">
      <x:c r="A275" s="4"/>
      <x:c r="B275" s="4"/>
      <x:c r="C275" s="4"/>
      <x:c r="D275" s="4"/>
      <x:c r="E275" s="4"/>
      <x:c r="F275" s="4"/>
      <x:c r="G275" s="4"/>
      <x:c r="H275" s="4"/>
      <x:c r="I275" s="4"/>
      <x:c r="J275" s="4"/>
      <x:c r="K275" s="4"/>
      <x:c r="L275" s="4"/>
      <x:c r="M275" s="4"/>
      <x:c r="N275" s="4"/>
    </x:row>
    <x:row r="276" ht="18" customHeight="1">
      <x:c r="A276" s="4"/>
      <x:c r="B276" s="4"/>
      <x:c r="C276" s="4"/>
      <x:c r="D276" s="4"/>
      <x:c r="E276" s="4"/>
      <x:c r="F276" s="4"/>
      <x:c r="G276" s="4"/>
      <x:c r="H276" s="4"/>
      <x:c r="I276" s="4"/>
      <x:c r="J276" s="4"/>
      <x:c r="K276" s="4"/>
      <x:c r="L276" s="4"/>
      <x:c r="M276" s="4"/>
      <x:c r="N276" s="4"/>
    </x:row>
    <x:row r="277" ht="18" customHeight="1">
      <x:c r="A277" s="4"/>
      <x:c r="B277" s="4"/>
      <x:c r="C277" s="4"/>
      <x:c r="D277" s="4"/>
      <x:c r="E277" s="4"/>
      <x:c r="F277" s="4"/>
      <x:c r="G277" s="4"/>
      <x:c r="H277" s="4"/>
      <x:c r="I277" s="4"/>
      <x:c r="J277" s="4"/>
      <x:c r="K277" s="4"/>
      <x:c r="L277" s="4"/>
      <x:c r="M277" s="4"/>
      <x:c r="N277" s="4"/>
    </x:row>
    <x:row r="278" ht="18" customHeight="1">
      <x:c r="A278" s="4"/>
      <x:c r="B278" s="4"/>
      <x:c r="C278" s="4"/>
      <x:c r="D278" s="4"/>
      <x:c r="E278" s="4"/>
      <x:c r="F278" s="4"/>
      <x:c r="G278" s="4"/>
      <x:c r="H278" s="4"/>
      <x:c r="I278" s="4"/>
      <x:c r="J278" s="4"/>
      <x:c r="K278" s="4"/>
      <x:c r="L278" s="4"/>
      <x:c r="M278" s="4"/>
      <x:c r="N278" s="4"/>
    </x:row>
    <x:row r="279" ht="18" customHeight="1">
      <x:c r="A279" s="4"/>
      <x:c r="B279" s="4"/>
      <x:c r="C279" s="4"/>
      <x:c r="D279" s="4"/>
      <x:c r="E279" s="4"/>
      <x:c r="F279" s="4"/>
      <x:c r="G279" s="4"/>
      <x:c r="H279" s="4"/>
      <x:c r="I279" s="4"/>
      <x:c r="J279" s="4"/>
      <x:c r="K279" s="4"/>
      <x:c r="L279" s="4"/>
      <x:c r="M279" s="4"/>
      <x:c r="N279" s="4"/>
    </x:row>
    <x:row r="280" ht="18" customHeight="1">
      <x:c r="A280" s="4"/>
      <x:c r="B280" s="4"/>
      <x:c r="C280" s="4"/>
      <x:c r="D280" s="4"/>
      <x:c r="E280" s="4"/>
      <x:c r="F280" s="4"/>
      <x:c r="G280" s="4"/>
      <x:c r="H280" s="4"/>
      <x:c r="I280" s="4"/>
      <x:c r="J280" s="4"/>
      <x:c r="K280" s="4"/>
      <x:c r="L280" s="4"/>
      <x:c r="M280" s="4"/>
      <x:c r="N280" s="4"/>
    </x:row>
    <x:row r="281" ht="18" customHeight="1">
      <x:c r="A281" s="4"/>
      <x:c r="B281" s="4"/>
      <x:c r="C281" s="4"/>
      <x:c r="D281" s="4"/>
      <x:c r="E281" s="4"/>
      <x:c r="F281" s="4"/>
      <x:c r="G281" s="4"/>
      <x:c r="H281" s="4"/>
      <x:c r="I281" s="4"/>
      <x:c r="J281" s="4"/>
      <x:c r="K281" s="4"/>
      <x:c r="L281" s="4"/>
      <x:c r="M281" s="4"/>
      <x:c r="N281" s="4"/>
    </x:row>
    <x:row r="282" ht="18" customHeight="1">
      <x:c r="A282" s="4"/>
      <x:c r="B282" s="4"/>
      <x:c r="C282" s="4"/>
      <x:c r="D282" s="4"/>
      <x:c r="E282" s="4"/>
      <x:c r="F282" s="4"/>
      <x:c r="G282" s="4"/>
      <x:c r="H282" s="4"/>
      <x:c r="I282" s="4"/>
      <x:c r="J282" s="4"/>
      <x:c r="K282" s="4"/>
      <x:c r="L282" s="4"/>
      <x:c r="M282" s="4"/>
      <x:c r="N282" s="4"/>
    </x:row>
    <x:row r="283" ht="18" customHeight="1">
      <x:c r="A283" s="47" t="str">
        <x:v>Небольшой парк бабочек и насекомых; дополнение к маршруту Табанана.</x:v>
      </x:c>
      <x:c r="B283" s="47" t="str">
        <x:v>Небольшой парк бабочек и насекомых; дополнение к маршруту Табанана.</x:v>
      </x:c>
      <x:c r="C283" s="47" t="str">
        <x:v>Небольшой парк бабочек и насекомых; дополнение к маршруту Табанана.</x:v>
      </x:c>
      <x:c r="D283" s="47" t="str">
        <x:v>Небольшой парк бабочек и насекомых; дополнение к маршруту Табанана.</x:v>
      </x:c>
      <x:c r="E283" s="4"/>
      <x:c r="F283" s="47" t="str">
        <x:v>Проход по воде через узкий каменный каньон.</x:v>
      </x:c>
      <x:c r="G283" s="47" t="str">
        <x:v>Проход по воде через узкий каменный каньон.</x:v>
      </x:c>
      <x:c r="H283" s="47" t="str">
        <x:v>Проход по воде через узкий каменный каньон.</x:v>
      </x:c>
      <x:c r="I283" s="47" t="str">
        <x:v>Проход по воде через узкий каменный каньон.</x:v>
      </x:c>
      <x:c r="J283" s="4"/>
      <x:c r="K283" s="47" t="str">
        <x:v>Известный babi guling: балийская свинина, рис, хрустящая кожа.</x:v>
      </x:c>
      <x:c r="L283" s="47" t="str">
        <x:v>Известный babi guling: балийская свинина, рис, хрустящая кожа.</x:v>
      </x:c>
      <x:c r="M283" s="47" t="str">
        <x:v>Известный babi guling: балийская свинина, рис, хрустящая кожа.</x:v>
      </x:c>
      <x:c r="N283" s="47" t="str">
        <x:v>Известный babi guling: балийская свинина, рис, хрустящая кожа.</x:v>
      </x:c>
    </x:row>
    <x:row r="284" ht="18" customHeight="1">
      <x:c r="A284" s="47" t="str">
        <x:v>Небольшой парк бабочек и насекомых; дополнение к маршруту Табанана.</x:v>
      </x:c>
      <x:c r="B284" s="47" t="str">
        <x:v>Небольшой парк бабочек и насекомых; дополнение к маршруту Табанана.</x:v>
      </x:c>
      <x:c r="C284" s="47" t="str">
        <x:v>Небольшой парк бабочек и насекомых; дополнение к маршруту Табанана.</x:v>
      </x:c>
      <x:c r="D284" s="47" t="str">
        <x:v>Небольшой парк бабочек и насекомых; дополнение к маршруту Табанана.</x:v>
      </x:c>
      <x:c r="E284" s="4"/>
      <x:c r="F284" s="47" t="str">
        <x:v>Проход по воде через узкий каменный каньон.</x:v>
      </x:c>
      <x:c r="G284" s="47" t="str">
        <x:v>Проход по воде через узкий каменный каньон.</x:v>
      </x:c>
      <x:c r="H284" s="47" t="str">
        <x:v>Проход по воде через узкий каменный каньон.</x:v>
      </x:c>
      <x:c r="I284" s="47" t="str">
        <x:v>Проход по воде через узкий каменный каньон.</x:v>
      </x:c>
      <x:c r="J284" s="4"/>
      <x:c r="K284" s="47" t="str">
        <x:v>Известный babi guling: балийская свинина, рис, хрустящая кожа.</x:v>
      </x:c>
      <x:c r="L284" s="47" t="str">
        <x:v>Известный babi guling: балийская свинина, рис, хрустящая кожа.</x:v>
      </x:c>
      <x:c r="M284" s="47" t="str">
        <x:v>Известный babi guling: балийская свинина, рис, хрустящая кожа.</x:v>
      </x:c>
      <x:c r="N284" s="47" t="str">
        <x:v>Известный babi guling: балийская свинина, рис, хрустящая кожа.</x:v>
      </x:c>
    </x:row>
    <x:row r="285" ht="18" customHeight="1">
      <x:c r="A285" s="48" t="str">
        <x:v>Табанан  •  TA 4.0 / 5  •  Известное</x:v>
      </x:c>
      <x:c r="B285" s="48" t="str">
        <x:v>Табанан  •  TA 4.0 / 5  •  Известное</x:v>
      </x:c>
      <x:c r="C285" s="48" t="str">
        <x:v>Табанан  •  TA 4.0 / 5  •  Известное</x:v>
      </x:c>
      <x:c r="D285" s="48" t="str">
        <x:v>Табанан  •  TA 4.0 / 5  •  Известное</x:v>
      </x:c>
      <x:c r="E285" s="4"/>
      <x:c r="F285" s="48" t="str">
        <x:v>Сукавати  •  TA 4.7 / 5  •  Неочевидное</x:v>
      </x:c>
      <x:c r="G285" s="48" t="str">
        <x:v>Сукавати  •  TA 4.7 / 5  •  Неочевидное</x:v>
      </x:c>
      <x:c r="H285" s="48" t="str">
        <x:v>Сукавати  •  TA 4.7 / 5  •  Неочевидное</x:v>
      </x:c>
      <x:c r="I285" s="48" t="str">
        <x:v>Сукавати  •  TA 4.7 / 5  •  Неочевидное</x:v>
      </x:c>
      <x:c r="J285" s="4"/>
      <x:c r="K285" s="48" t="str">
        <x:v>Убуд  •  TA 3.5 / 5  •  Известное</x:v>
      </x:c>
      <x:c r="L285" s="48" t="str">
        <x:v>Убуд  •  TA 3.5 / 5  •  Известное</x:v>
      </x:c>
      <x:c r="M285" s="48" t="str">
        <x:v>Убуд  •  TA 3.5 / 5  •  Известное</x:v>
      </x:c>
      <x:c r="N285" s="48" t="str">
        <x:v>Убуд  •  TA 3.5 / 5  •  Известное</x:v>
      </x:c>
    </x:row>
    <x:row r="286" ht="18" customHeight="1">
      <x:c r="A286" s="8" t="str">
        <x:f>HYPERLINK("#'Места'!A45","В список →")</x:f>
        <x:v>В список →</x:v>
      </x:c>
      <x:c r="B286" s="4"/>
      <x:c r="C286" s="8" t="str">
        <x:f>HYPERLINK("https://dynamic-media-cdn.tripadvisor.com/media/photo-o/0d/13/6b/b0/farfalle.jpg?h=400&amp;s=1&amp;w=700","Источник ↗")</x:f>
        <x:v>Источник ↗</x:v>
      </x:c>
      <x:c r="D286" s="4"/>
      <x:c r="E286" s="4"/>
      <x:c r="F286" s="8" t="str">
        <x:f>HYPERLINK("#'Места'!A60","В список →")</x:f>
        <x:v>В список →</x:v>
      </x:c>
      <x:c r="G286" s="4"/>
      <x:c r="H286" s="8" t="str">
        <x:f>HYPERLINK("https://dynamic-media-cdn.tripadvisor.com/media/photo-o/19/c9/16/97/20190828-125000a-snap.jpg?h=400&amp;s=1&amp;w=700","Источник ↗")</x:f>
        <x:v>Источник ↗</x:v>
      </x:c>
      <x:c r="I286" s="4"/>
      <x:c r="J286" s="4"/>
      <x:c r="K286" s="8" t="str">
        <x:f>HYPERLINK("#'Места'!A29","В список →")</x:f>
        <x:v>В список →</x:v>
      </x:c>
      <x:c r="L286" s="4"/>
      <x:c r="M286" s="8" t="str">
        <x:f>HYPERLINK("https://dynamic-media-cdn.tripadvisor.com/media/photo-o/07/de/a3/4b/ibu-oka.jpg?h=500&amp;s=1&amp;w=900","Источник ↗")</x:f>
        <x:v>Источник ↗</x:v>
      </x:c>
      <x:c r="N286" s="4"/>
    </x:row>
    <x:row r="287" ht="18" customHeight="1">
      <x:c r="A287" s="52" t="str">
        <x:v>61  Babi Guling Pak Malen</x:v>
      </x:c>
      <x:c r="B287" s="52" t="str">
        <x:v>61  Babi Guling Pak Malen</x:v>
      </x:c>
      <x:c r="C287" s="52" t="str">
        <x:v>61  Babi Guling Pak Malen</x:v>
      </x:c>
      <x:c r="D287" s="52" t="str">
        <x:v>61  Babi Guling Pak Malen</x:v>
      </x:c>
      <x:c r="E287" s="4"/>
      <x:c r="F287" s="52" t="str">
        <x:v>62  Nasi Ayam Kedewatan Ibu Mangku</x:v>
      </x:c>
      <x:c r="G287" s="52" t="str">
        <x:v>62  Nasi Ayam Kedewatan Ibu Mangku</x:v>
      </x:c>
      <x:c r="H287" s="52" t="str">
        <x:v>62  Nasi Ayam Kedewatan Ibu Mangku</x:v>
      </x:c>
      <x:c r="I287" s="52" t="str">
        <x:v>62  Nasi Ayam Kedewatan Ibu Mangku</x:v>
      </x:c>
      <x:c r="J287" s="4"/>
      <x:c r="K287" s="52" t="str">
        <x:v>63  Bebek Bengil Ubud</x:v>
      </x:c>
      <x:c r="L287" s="52" t="str">
        <x:v>63  Bebek Bengil Ubud</x:v>
      </x:c>
      <x:c r="M287" s="52" t="str">
        <x:v>63  Bebek Bengil Ubud</x:v>
      </x:c>
      <x:c r="N287" s="52" t="str">
        <x:v>63  Bebek Bengil Ubud</x:v>
      </x:c>
    </x:row>
    <x:row r="288" ht="18" customHeight="1">
      <x:c r="A288" s="52" t="str">
        <x:v>61  Babi Guling Pak Malen</x:v>
      </x:c>
      <x:c r="B288" s="52" t="str">
        <x:v>61  Babi Guling Pak Malen</x:v>
      </x:c>
      <x:c r="C288" s="52" t="str">
        <x:v>61  Babi Guling Pak Malen</x:v>
      </x:c>
      <x:c r="D288" s="52" t="str">
        <x:v>61  Babi Guling Pak Malen</x:v>
      </x:c>
      <x:c r="E288" s="4"/>
      <x:c r="F288" s="52" t="str">
        <x:v>62  Nasi Ayam Kedewatan Ibu Mangku</x:v>
      </x:c>
      <x:c r="G288" s="52" t="str">
        <x:v>62  Nasi Ayam Kedewatan Ibu Mangku</x:v>
      </x:c>
      <x:c r="H288" s="52" t="str">
        <x:v>62  Nasi Ayam Kedewatan Ibu Mangku</x:v>
      </x:c>
      <x:c r="I288" s="52" t="str">
        <x:v>62  Nasi Ayam Kedewatan Ibu Mangku</x:v>
      </x:c>
      <x:c r="J288" s="4"/>
      <x:c r="K288" s="52" t="str">
        <x:v>63  Bebek Bengil Ubud</x:v>
      </x:c>
      <x:c r="L288" s="52" t="str">
        <x:v>63  Bebek Bengil Ubud</x:v>
      </x:c>
      <x:c r="M288" s="52" t="str">
        <x:v>63  Bebek Bengil Ubud</x:v>
      </x:c>
      <x:c r="N288" s="52" t="str">
        <x:v>63  Bebek Bengil Ubud</x:v>
      </x:c>
    </x:row>
    <x:row r="289" ht="18" customHeight="1">
      <x:c r="A289" s="4"/>
      <x:c r="B289" s="4"/>
      <x:c r="C289" s="4"/>
      <x:c r="D289" s="4"/>
      <x:c r="E289" s="4"/>
      <x:c r="F289" s="4"/>
      <x:c r="G289" s="4"/>
      <x:c r="H289" s="4"/>
      <x:c r="I289" s="4"/>
      <x:c r="J289" s="4"/>
      <x:c r="K289" s="4"/>
      <x:c r="L289" s="4"/>
      <x:c r="M289" s="4"/>
      <x:c r="N289" s="4"/>
    </x:row>
    <x:row r="290" ht="18" customHeight="1">
      <x:c r="A290" s="4"/>
      <x:c r="B290" s="4"/>
      <x:c r="C290" s="4"/>
      <x:c r="D290" s="4"/>
      <x:c r="E290" s="4"/>
      <x:c r="F290" s="4"/>
      <x:c r="G290" s="4"/>
      <x:c r="H290" s="4"/>
      <x:c r="I290" s="4"/>
      <x:c r="J290" s="4"/>
      <x:c r="K290" s="4"/>
      <x:c r="L290" s="4"/>
      <x:c r="M290" s="4"/>
      <x:c r="N290" s="4"/>
    </x:row>
    <x:row r="291" ht="18" customHeight="1">
      <x:c r="A291" s="4"/>
      <x:c r="B291" s="4"/>
      <x:c r="C291" s="4"/>
      <x:c r="D291" s="4"/>
      <x:c r="E291" s="4"/>
      <x:c r="F291" s="4"/>
      <x:c r="G291" s="4"/>
      <x:c r="H291" s="4"/>
      <x:c r="I291" s="4"/>
      <x:c r="J291" s="4"/>
      <x:c r="K291" s="4"/>
      <x:c r="L291" s="4"/>
      <x:c r="M291" s="4"/>
      <x:c r="N291" s="4"/>
    </x:row>
    <x:row r="292" ht="18" customHeight="1">
      <x:c r="A292" s="4"/>
      <x:c r="B292" s="4"/>
      <x:c r="C292" s="4"/>
      <x:c r="D292" s="4"/>
      <x:c r="E292" s="4"/>
      <x:c r="F292" s="4"/>
      <x:c r="G292" s="4"/>
      <x:c r="H292" s="4"/>
      <x:c r="I292" s="4"/>
      <x:c r="J292" s="4"/>
      <x:c r="K292" s="4"/>
      <x:c r="L292" s="4"/>
      <x:c r="M292" s="4"/>
      <x:c r="N292" s="4"/>
    </x:row>
    <x:row r="293" ht="18" customHeight="1">
      <x:c r="A293" s="4"/>
      <x:c r="B293" s="4"/>
      <x:c r="C293" s="4"/>
      <x:c r="D293" s="4"/>
      <x:c r="E293" s="4"/>
      <x:c r="F293" s="4"/>
      <x:c r="G293" s="4"/>
      <x:c r="H293" s="4"/>
      <x:c r="I293" s="4"/>
      <x:c r="J293" s="4"/>
      <x:c r="K293" s="4"/>
      <x:c r="L293" s="4"/>
      <x:c r="M293" s="4"/>
      <x:c r="N293" s="4"/>
    </x:row>
    <x:row r="294" ht="18" customHeight="1">
      <x:c r="A294" s="4"/>
      <x:c r="B294" s="4"/>
      <x:c r="C294" s="4"/>
      <x:c r="D294" s="4"/>
      <x:c r="E294" s="4"/>
      <x:c r="F294" s="4"/>
      <x:c r="G294" s="4"/>
      <x:c r="H294" s="4"/>
      <x:c r="I294" s="4"/>
      <x:c r="J294" s="4"/>
      <x:c r="K294" s="4"/>
      <x:c r="L294" s="4"/>
      <x:c r="M294" s="4"/>
      <x:c r="N294" s="4"/>
    </x:row>
    <x:row r="295" ht="18" customHeight="1">
      <x:c r="A295" s="4"/>
      <x:c r="B295" s="4"/>
      <x:c r="C295" s="4"/>
      <x:c r="D295" s="4"/>
      <x:c r="E295" s="4"/>
      <x:c r="F295" s="4"/>
      <x:c r="G295" s="4"/>
      <x:c r="H295" s="4"/>
      <x:c r="I295" s="4"/>
      <x:c r="J295" s="4"/>
      <x:c r="K295" s="4"/>
      <x:c r="L295" s="4"/>
      <x:c r="M295" s="4"/>
      <x:c r="N295" s="4"/>
    </x:row>
    <x:row r="296" ht="18" customHeight="1">
      <x:c r="A296" s="4"/>
      <x:c r="B296" s="4"/>
      <x:c r="C296" s="4"/>
      <x:c r="D296" s="4"/>
      <x:c r="E296" s="4"/>
      <x:c r="F296" s="4"/>
      <x:c r="G296" s="4"/>
      <x:c r="H296" s="4"/>
      <x:c r="I296" s="4"/>
      <x:c r="J296" s="4"/>
      <x:c r="K296" s="4"/>
      <x:c r="L296" s="4"/>
      <x:c r="M296" s="4"/>
      <x:c r="N296" s="4"/>
    </x:row>
    <x:row r="297" ht="18" customHeight="1">
      <x:c r="A297" s="47" t="str">
        <x:v>Babi guling и насыщенный свиной бульон в Семиньяке.</x:v>
      </x:c>
      <x:c r="B297" s="47" t="str">
        <x:v>Babi guling и насыщенный свиной бульон в Семиньяке.</x:v>
      </x:c>
      <x:c r="C297" s="47" t="str">
        <x:v>Babi guling и насыщенный свиной бульон в Семиньяке.</x:v>
      </x:c>
      <x:c r="D297" s="47" t="str">
        <x:v>Babi guling и насыщенный свиной бульон в Семиньяке.</x:v>
      </x:c>
      <x:c r="E297" s="4"/>
      <x:c r="F297" s="47" t="str">
        <x:v>Nasi ayam / nasi campur с курицей, специями и балийским двориком.</x:v>
      </x:c>
      <x:c r="G297" s="47" t="str">
        <x:v>Nasi ayam / nasi campur с курицей, специями и балийским двориком.</x:v>
      </x:c>
      <x:c r="H297" s="47" t="str">
        <x:v>Nasi ayam / nasi campur с курицей, специями и балийским двориком.</x:v>
      </x:c>
      <x:c r="I297" s="47" t="str">
        <x:v>Nasi ayam / nasi campur с курицей, специями и балийским двориком.</x:v>
      </x:c>
      <x:c r="J297" s="4"/>
      <x:c r="K297" s="47" t="str">
        <x:v>Хрустящая утка и большой сад с прудами у центра Убуда.</x:v>
      </x:c>
      <x:c r="L297" s="47" t="str">
        <x:v>Хрустящая утка и большой сад с прудами у центра Убуда.</x:v>
      </x:c>
      <x:c r="M297" s="47" t="str">
        <x:v>Хрустящая утка и большой сад с прудами у центра Убуда.</x:v>
      </x:c>
      <x:c r="N297" s="47" t="str">
        <x:v>Хрустящая утка и большой сад с прудами у центра Убуда.</x:v>
      </x:c>
    </x:row>
    <x:row r="298" ht="18" customHeight="1">
      <x:c r="A298" s="47" t="str">
        <x:v>Babi guling и насыщенный свиной бульон в Семиньяке.</x:v>
      </x:c>
      <x:c r="B298" s="47" t="str">
        <x:v>Babi guling и насыщенный свиной бульон в Семиньяке.</x:v>
      </x:c>
      <x:c r="C298" s="47" t="str">
        <x:v>Babi guling и насыщенный свиной бульон в Семиньяке.</x:v>
      </x:c>
      <x:c r="D298" s="47" t="str">
        <x:v>Babi guling и насыщенный свиной бульон в Семиньяке.</x:v>
      </x:c>
      <x:c r="E298" s="4"/>
      <x:c r="F298" s="47" t="str">
        <x:v>Nasi ayam / nasi campur с курицей, специями и балийским двориком.</x:v>
      </x:c>
      <x:c r="G298" s="47" t="str">
        <x:v>Nasi ayam / nasi campur с курицей, специями и балийским двориком.</x:v>
      </x:c>
      <x:c r="H298" s="47" t="str">
        <x:v>Nasi ayam / nasi campur с курицей, специями и балийским двориком.</x:v>
      </x:c>
      <x:c r="I298" s="47" t="str">
        <x:v>Nasi ayam / nasi campur с курицей, специями и балийским двориком.</x:v>
      </x:c>
      <x:c r="J298" s="4"/>
      <x:c r="K298" s="47" t="str">
        <x:v>Хрустящая утка и большой сад с прудами у центра Убуда.</x:v>
      </x:c>
      <x:c r="L298" s="47" t="str">
        <x:v>Хрустящая утка и большой сад с прудами у центра Убуда.</x:v>
      </x:c>
      <x:c r="M298" s="47" t="str">
        <x:v>Хрустящая утка и большой сад с прудами у центра Убуда.</x:v>
      </x:c>
      <x:c r="N298" s="47" t="str">
        <x:v>Хрустящая утка и большой сад с прудами у центра Убуда.</x:v>
      </x:c>
    </x:row>
    <x:row r="299" ht="18" customHeight="1">
      <x:c r="A299" s="48" t="str">
        <x:v>Семиньяк  •  TA 4.0 / 5  •  Известное</x:v>
      </x:c>
      <x:c r="B299" s="48" t="str">
        <x:v>Семиньяк  •  TA 4.0 / 5  •  Известное</x:v>
      </x:c>
      <x:c r="C299" s="48" t="str">
        <x:v>Семиньяк  •  TA 4.0 / 5  •  Известное</x:v>
      </x:c>
      <x:c r="D299" s="48" t="str">
        <x:v>Семиньяк  •  TA 4.0 / 5  •  Известное</x:v>
      </x:c>
      <x:c r="E299" s="4"/>
      <x:c r="F299" s="48" t="str">
        <x:v>Убуд  •  TA 4.1 / 5  •  Неочевидное</x:v>
      </x:c>
      <x:c r="G299" s="48" t="str">
        <x:v>Убуд  •  TA 4.1 / 5  •  Неочевидное</x:v>
      </x:c>
      <x:c r="H299" s="48" t="str">
        <x:v>Убуд  •  TA 4.1 / 5  •  Неочевидное</x:v>
      </x:c>
      <x:c r="I299" s="48" t="str">
        <x:v>Убуд  •  TA 4.1 / 5  •  Неочевидное</x:v>
      </x:c>
      <x:c r="J299" s="4"/>
      <x:c r="K299" s="48" t="str">
        <x:v>Убуд  •  TA 3.5 / 5  •  Известное</x:v>
      </x:c>
      <x:c r="L299" s="48" t="str">
        <x:v>Убуд  •  TA 3.5 / 5  •  Известное</x:v>
      </x:c>
      <x:c r="M299" s="48" t="str">
        <x:v>Убуд  •  TA 3.5 / 5  •  Известное</x:v>
      </x:c>
      <x:c r="N299" s="48" t="str">
        <x:v>Убуд  •  TA 3.5 / 5  •  Известное</x:v>
      </x:c>
    </x:row>
    <x:row r="300" ht="18" customHeight="1">
      <x:c r="A300" s="8" t="str">
        <x:f>HYPERLINK("#'Места'!A40","В список →")</x:f>
        <x:v>В список →</x:v>
      </x:c>
      <x:c r="B300" s="4"/>
      <x:c r="C300" s="8" t="str">
        <x:f>HYPERLINK("https://dynamic-media-cdn.tripadvisor.com/media/photo-o/15/6a/49/0a/img20181010175846-largejpg.jpg?h=500&amp;s=1&amp;w=900","Источник ↗")</x:f>
        <x:v>Источник ↗</x:v>
      </x:c>
      <x:c r="D300" s="4"/>
      <x:c r="E300" s="4"/>
      <x:c r="F300" s="8" t="str">
        <x:f>HYPERLINK("#'Места'!A62","В список →")</x:f>
        <x:v>В список →</x:v>
      </x:c>
      <x:c r="G300" s="4"/>
      <x:c r="H300" s="8" t="str">
        <x:f>HYPERLINK("https://dynamic-media-cdn.tripadvisor.com/media/photo-o/0c/3d/9d/fa/keren-kan-tempatnya.jpg?h=-1&amp;s=1&amp;w=900","Источник ↗")</x:f>
        <x:v>Источник ↗</x:v>
      </x:c>
      <x:c r="I300" s="4"/>
      <x:c r="J300" s="4"/>
      <x:c r="K300" s="8" t="str">
        <x:f>HYPERLINK("#'Места'!A21","В список →")</x:f>
        <x:v>В список →</x:v>
      </x:c>
      <x:c r="L300" s="4"/>
      <x:c r="M300" s="8" t="str">
        <x:f>HYPERLINK("https://dynamic-media-cdn.tripadvisor.com/media/photo-o/2e/da/48/ae/crispy-duck-original.jpg?h=500&amp;s=1&amp;w=900","Источник ↗")</x:f>
        <x:v>Источник ↗</x:v>
      </x:c>
      <x:c r="N300" s="4"/>
    </x:row>
    <x:row r="301" ht="18" customHeight="1">
      <x:c r="A301" s="52" t="str">
        <x:v>64  Naughty Nuri’s Ubud</x:v>
      </x:c>
      <x:c r="B301" s="52" t="str">
        <x:v>64  Naughty Nuri’s Ubud</x:v>
      </x:c>
      <x:c r="C301" s="52" t="str">
        <x:v>64  Naughty Nuri’s Ubud</x:v>
      </x:c>
      <x:c r="D301" s="52" t="str">
        <x:v>64  Naughty Nuri’s Ubud</x:v>
      </x:c>
      <x:c r="E301" s="4"/>
      <x:c r="F301" s="52" t="str">
        <x:v>65  Warung Mak Beng</x:v>
      </x:c>
      <x:c r="G301" s="52" t="str">
        <x:v>65  Warung Mak Beng</x:v>
      </x:c>
      <x:c r="H301" s="52" t="str">
        <x:v>65  Warung Mak Beng</x:v>
      </x:c>
      <x:c r="I301" s="52" t="str">
        <x:v>65  Warung Mak Beng</x:v>
      </x:c>
      <x:c r="J301" s="4"/>
      <x:c r="K301" s="52" t="str">
        <x:v>66  Nasi Ayam Men Weti</x:v>
      </x:c>
      <x:c r="L301" s="52" t="str">
        <x:v>66  Nasi Ayam Men Weti</x:v>
      </x:c>
      <x:c r="M301" s="52" t="str">
        <x:v>66  Nasi Ayam Men Weti</x:v>
      </x:c>
      <x:c r="N301" s="52" t="str">
        <x:v>66  Nasi Ayam Men Weti</x:v>
      </x:c>
    </x:row>
    <x:row r="302" ht="18" customHeight="1">
      <x:c r="A302" s="52" t="str">
        <x:v>64  Naughty Nuri’s Ubud</x:v>
      </x:c>
      <x:c r="B302" s="52" t="str">
        <x:v>64  Naughty Nuri’s Ubud</x:v>
      </x:c>
      <x:c r="C302" s="52" t="str">
        <x:v>64  Naughty Nuri’s Ubud</x:v>
      </x:c>
      <x:c r="D302" s="52" t="str">
        <x:v>64  Naughty Nuri’s Ubud</x:v>
      </x:c>
      <x:c r="E302" s="4"/>
      <x:c r="F302" s="52" t="str">
        <x:v>65  Warung Mak Beng</x:v>
      </x:c>
      <x:c r="G302" s="52" t="str">
        <x:v>65  Warung Mak Beng</x:v>
      </x:c>
      <x:c r="H302" s="52" t="str">
        <x:v>65  Warung Mak Beng</x:v>
      </x:c>
      <x:c r="I302" s="52" t="str">
        <x:v>65  Warung Mak Beng</x:v>
      </x:c>
      <x:c r="J302" s="4"/>
      <x:c r="K302" s="52" t="str">
        <x:v>66  Nasi Ayam Men Weti</x:v>
      </x:c>
      <x:c r="L302" s="52" t="str">
        <x:v>66  Nasi Ayam Men Weti</x:v>
      </x:c>
      <x:c r="M302" s="52" t="str">
        <x:v>66  Nasi Ayam Men Weti</x:v>
      </x:c>
      <x:c r="N302" s="52" t="str">
        <x:v>66  Nasi Ayam Men Weti</x:v>
      </x:c>
    </x:row>
    <x:row r="303" ht="18" customHeight="1">
      <x:c r="A303" s="4"/>
      <x:c r="B303" s="4"/>
      <x:c r="C303" s="4"/>
      <x:c r="D303" s="4"/>
      <x:c r="E303" s="4"/>
      <x:c r="F303" s="4"/>
      <x:c r="G303" s="4"/>
      <x:c r="H303" s="4"/>
      <x:c r="I303" s="4"/>
      <x:c r="J303" s="4"/>
      <x:c r="K303" s="4"/>
      <x:c r="L303" s="4"/>
      <x:c r="M303" s="4"/>
      <x:c r="N303" s="4"/>
    </x:row>
    <x:row r="304" ht="18" customHeight="1">
      <x:c r="A304" s="4"/>
      <x:c r="B304" s="4"/>
      <x:c r="C304" s="4"/>
      <x:c r="D304" s="4"/>
      <x:c r="E304" s="4"/>
      <x:c r="F304" s="4"/>
      <x:c r="G304" s="4"/>
      <x:c r="H304" s="4"/>
      <x:c r="I304" s="4"/>
      <x:c r="J304" s="4"/>
      <x:c r="K304" s="4"/>
      <x:c r="L304" s="4"/>
      <x:c r="M304" s="4"/>
      <x:c r="N304" s="4"/>
    </x:row>
    <x:row r="305" ht="18" customHeight="1">
      <x:c r="A305" s="4"/>
      <x:c r="B305" s="4"/>
      <x:c r="C305" s="4"/>
      <x:c r="D305" s="4"/>
      <x:c r="E305" s="4"/>
      <x:c r="F305" s="4"/>
      <x:c r="G305" s="4"/>
      <x:c r="H305" s="4"/>
      <x:c r="I305" s="4"/>
      <x:c r="J305" s="4"/>
      <x:c r="K305" s="4"/>
      <x:c r="L305" s="4"/>
      <x:c r="M305" s="4"/>
      <x:c r="N305" s="4"/>
    </x:row>
    <x:row r="306" ht="18" customHeight="1">
      <x:c r="A306" s="4"/>
      <x:c r="B306" s="4"/>
      <x:c r="C306" s="4"/>
      <x:c r="D306" s="4"/>
      <x:c r="E306" s="4"/>
      <x:c r="F306" s="4"/>
      <x:c r="G306" s="4"/>
      <x:c r="H306" s="4"/>
      <x:c r="I306" s="4"/>
      <x:c r="J306" s="4"/>
      <x:c r="K306" s="4"/>
      <x:c r="L306" s="4"/>
      <x:c r="M306" s="4"/>
      <x:c r="N306" s="4"/>
    </x:row>
    <x:row r="307" ht="18" customHeight="1">
      <x:c r="A307" s="4"/>
      <x:c r="B307" s="4"/>
      <x:c r="C307" s="4"/>
      <x:c r="D307" s="4"/>
      <x:c r="E307" s="4"/>
      <x:c r="F307" s="4"/>
      <x:c r="G307" s="4"/>
      <x:c r="H307" s="4"/>
      <x:c r="I307" s="4"/>
      <x:c r="J307" s="4"/>
      <x:c r="K307" s="4"/>
      <x:c r="L307" s="4"/>
      <x:c r="M307" s="4"/>
      <x:c r="N307" s="4"/>
    </x:row>
    <x:row r="308" ht="18" customHeight="1">
      <x:c r="A308" s="4"/>
      <x:c r="B308" s="4"/>
      <x:c r="C308" s="4"/>
      <x:c r="D308" s="4"/>
      <x:c r="E308" s="4"/>
      <x:c r="F308" s="4"/>
      <x:c r="G308" s="4"/>
      <x:c r="H308" s="4"/>
      <x:c r="I308" s="4"/>
      <x:c r="J308" s="4"/>
      <x:c r="K308" s="4"/>
      <x:c r="L308" s="4"/>
      <x:c r="M308" s="4"/>
      <x:c r="N308" s="4"/>
    </x:row>
    <x:row r="309" ht="18" customHeight="1">
      <x:c r="A309" s="4"/>
      <x:c r="B309" s="4"/>
      <x:c r="C309" s="4"/>
      <x:c r="D309" s="4"/>
      <x:c r="E309" s="4"/>
      <x:c r="F309" s="4"/>
      <x:c r="G309" s="4"/>
      <x:c r="H309" s="4"/>
      <x:c r="I309" s="4"/>
      <x:c r="J309" s="4"/>
      <x:c r="K309" s="4"/>
      <x:c r="L309" s="4"/>
      <x:c r="M309" s="4"/>
      <x:c r="N309" s="4"/>
    </x:row>
    <x:row r="310" ht="18" customHeight="1">
      <x:c r="A310" s="4"/>
      <x:c r="B310" s="4"/>
      <x:c r="C310" s="4"/>
      <x:c r="D310" s="4"/>
      <x:c r="E310" s="4"/>
      <x:c r="F310" s="4"/>
      <x:c r="G310" s="4"/>
      <x:c r="H310" s="4"/>
      <x:c r="I310" s="4"/>
      <x:c r="J310" s="4"/>
      <x:c r="K310" s="4"/>
      <x:c r="L310" s="4"/>
      <x:c r="M310" s="4"/>
      <x:c r="N310" s="4"/>
    </x:row>
    <x:row r="311" ht="18" customHeight="1">
      <x:c r="A311" s="47" t="str">
        <x:v>Свиные рёбра на гриле, сатай и атмосфера старого варунга.</x:v>
      </x:c>
      <x:c r="B311" s="47" t="str">
        <x:v>Свиные рёбра на гриле, сатай и атмосфера старого варунга.</x:v>
      </x:c>
      <x:c r="C311" s="47" t="str">
        <x:v>Свиные рёбра на гриле, сатай и атмосфера старого варунга.</x:v>
      </x:c>
      <x:c r="D311" s="47" t="str">
        <x:v>Свиные рёбра на гриле, сатай и атмосфера старого варунга.</x:v>
      </x:c>
      <x:c r="E311" s="4"/>
      <x:c r="F311" s="47" t="str">
        <x:v>Один фирменный сет: жареная рыба, рыбный суп и рис.</x:v>
      </x:c>
      <x:c r="G311" s="47" t="str">
        <x:v>Один фирменный сет: жареная рыба, рыбный суп и рис.</x:v>
      </x:c>
      <x:c r="H311" s="47" t="str">
        <x:v>Один фирменный сет: жареная рыба, рыбный суп и рис.</x:v>
      </x:c>
      <x:c r="I311" s="47" t="str">
        <x:v>Один фирменный сет: жареная рыба, рыбный суп и рис.</x:v>
      </x:c>
      <x:c r="J311" s="4"/>
      <x:c r="K311" s="47" t="str">
        <x:v>Утренний nasi campur у пляжа Санура: курица, овощи и хрустящая кожа.</x:v>
      </x:c>
      <x:c r="L311" s="47" t="str">
        <x:v>Утренний nasi campur у пляжа Санура: курица, овощи и хрустящая кожа.</x:v>
      </x:c>
      <x:c r="M311" s="47" t="str">
        <x:v>Утренний nasi campur у пляжа Санура: курица, овощи и хрустящая кожа.</x:v>
      </x:c>
      <x:c r="N311" s="47" t="str">
        <x:v>Утренний nasi campur у пляжа Санура: курица, овощи и хрустящая кожа.</x:v>
      </x:c>
    </x:row>
    <x:row r="312" ht="18" customHeight="1">
      <x:c r="A312" s="47" t="str">
        <x:v>Свиные рёбра на гриле, сатай и атмосфера старого варунга.</x:v>
      </x:c>
      <x:c r="B312" s="47" t="str">
        <x:v>Свиные рёбра на гриле, сатай и атмосфера старого варунга.</x:v>
      </x:c>
      <x:c r="C312" s="47" t="str">
        <x:v>Свиные рёбра на гриле, сатай и атмосфера старого варунга.</x:v>
      </x:c>
      <x:c r="D312" s="47" t="str">
        <x:v>Свиные рёбра на гриле, сатай и атмосфера старого варунга.</x:v>
      </x:c>
      <x:c r="E312" s="4"/>
      <x:c r="F312" s="47" t="str">
        <x:v>Один фирменный сет: жареная рыба, рыбный суп и рис.</x:v>
      </x:c>
      <x:c r="G312" s="47" t="str">
        <x:v>Один фирменный сет: жареная рыба, рыбный суп и рис.</x:v>
      </x:c>
      <x:c r="H312" s="47" t="str">
        <x:v>Один фирменный сет: жареная рыба, рыбный суп и рис.</x:v>
      </x:c>
      <x:c r="I312" s="47" t="str">
        <x:v>Один фирменный сет: жареная рыба, рыбный суп и рис.</x:v>
      </x:c>
      <x:c r="J312" s="4"/>
      <x:c r="K312" s="47" t="str">
        <x:v>Утренний nasi campur у пляжа Санура: курица, овощи и хрустящая кожа.</x:v>
      </x:c>
      <x:c r="L312" s="47" t="str">
        <x:v>Утренний nasi campur у пляжа Санура: курица, овощи и хрустящая кожа.</x:v>
      </x:c>
      <x:c r="M312" s="47" t="str">
        <x:v>Утренний nasi campur у пляжа Санура: курица, овощи и хрустящая кожа.</x:v>
      </x:c>
      <x:c r="N312" s="47" t="str">
        <x:v>Утренний nasi campur у пляжа Санура: курица, овощи и хрустящая кожа.</x:v>
      </x:c>
    </x:row>
    <x:row r="313" ht="18" customHeight="1">
      <x:c r="A313" s="48" t="str">
        <x:v>Убуд  •  TA 4.0 / 5  •  Известное</x:v>
      </x:c>
      <x:c r="B313" s="48" t="str">
        <x:v>Убуд  •  TA 4.0 / 5  •  Известное</x:v>
      </x:c>
      <x:c r="C313" s="48" t="str">
        <x:v>Убуд  •  TA 4.0 / 5  •  Известное</x:v>
      </x:c>
      <x:c r="D313" s="48" t="str">
        <x:v>Убуд  •  TA 4.0 / 5  •  Известное</x:v>
      </x:c>
      <x:c r="E313" s="4"/>
      <x:c r="F313" s="48" t="str">
        <x:v>Санур  •  TA 4.3 / 5  •  Известное</x:v>
      </x:c>
      <x:c r="G313" s="48" t="str">
        <x:v>Санур  •  TA 4.3 / 5  •  Известное</x:v>
      </x:c>
      <x:c r="H313" s="48" t="str">
        <x:v>Санур  •  TA 4.3 / 5  •  Известное</x:v>
      </x:c>
      <x:c r="I313" s="48" t="str">
        <x:v>Санур  •  TA 4.3 / 5  •  Известное</x:v>
      </x:c>
      <x:c r="J313" s="4"/>
      <x:c r="K313" s="48" t="str">
        <x:v>Санур  •  TA 4.3 / 5  •  Неочевидное</x:v>
      </x:c>
      <x:c r="L313" s="48" t="str">
        <x:v>Санур  •  TA 4.3 / 5  •  Неочевидное</x:v>
      </x:c>
      <x:c r="M313" s="48" t="str">
        <x:v>Санур  •  TA 4.3 / 5  •  Неочевидное</x:v>
      </x:c>
      <x:c r="N313" s="48" t="str">
        <x:v>Санур  •  TA 4.3 / 5  •  Неочевидное</x:v>
      </x:c>
    </x:row>
    <x:row r="314" ht="18" customHeight="1">
      <x:c r="A314" s="8" t="str">
        <x:f>HYPERLINK("#'Места'!A23","В список →")</x:f>
        <x:v>В список →</x:v>
      </x:c>
      <x:c r="B314" s="4"/>
      <x:c r="C314" s="8" t="str">
        <x:f>HYPERLINK("https://dynamic-media-cdn.tripadvisor.com/media/photo-o/04/8f/b0/70/naughty-nuri-s-warung.jpg?h=500&amp;s=1&amp;w=900","Источник ↗")</x:f>
        <x:v>Источник ↗</x:v>
      </x:c>
      <x:c r="D314" s="4"/>
      <x:c r="E314" s="4"/>
      <x:c r="F314" s="8" t="str">
        <x:f>HYPERLINK("#'Места'!A43","В список →")</x:f>
        <x:v>В список →</x:v>
      </x:c>
      <x:c r="G314" s="4"/>
      <x:c r="H314" s="8" t="str">
        <x:f>HYPERLINK("https://dynamic-media-cdn.tripadvisor.com/media/photo-o/11/4f/ea/b6/view-from-outside.jpg?h=500&amp;s=1&amp;w=900","Источник ↗")</x:f>
        <x:v>Источник ↗</x:v>
      </x:c>
      <x:c r="I314" s="4"/>
      <x:c r="J314" s="4"/>
      <x:c r="K314" s="8" t="str">
        <x:f>HYPERLINK("#'Места'!A72","В список →")</x:f>
        <x:v>В список →</x:v>
      </x:c>
      <x:c r="L314" s="4"/>
      <x:c r="M314" s="8" t="str">
        <x:f>HYPERLINK("https://dynamic-media-cdn.tripadvisor.com/media/photo-o/2c/a6/ca/7d/caption.jpg?h=500&amp;s=1&amp;w=900","Источник ↗")</x:f>
        <x:v>Источник ↗</x:v>
      </x:c>
      <x:c r="N314" s="4"/>
    </x:row>
    <x:row r="315" ht="18" customHeight="1">
      <x:c r="A315" s="52" t="str">
        <x:v>67  Warung Biah Biah</x:v>
      </x:c>
      <x:c r="B315" s="52" t="str">
        <x:v>67  Warung Biah Biah</x:v>
      </x:c>
      <x:c r="C315" s="52" t="str">
        <x:v>67  Warung Biah Biah</x:v>
      </x:c>
      <x:c r="D315" s="52" t="str">
        <x:v>67  Warung Biah Biah</x:v>
      </x:c>
      <x:c r="E315" s="4"/>
      <x:c r="F315" s="52" t="str">
        <x:v>68  Warung Mami Ikan Bakar</x:v>
      </x:c>
      <x:c r="G315" s="52" t="str">
        <x:v>68  Warung Mami Ikan Bakar</x:v>
      </x:c>
      <x:c r="H315" s="52" t="str">
        <x:v>68  Warung Mami Ikan Bakar</x:v>
      </x:c>
      <x:c r="I315" s="52" t="str">
        <x:v>68  Warung Mami Ikan Bakar</x:v>
      </x:c>
      <x:c r="J315" s="4"/>
      <x:c r="K315" s="52" t="str">
        <x:v>69  La Brisa</x:v>
      </x:c>
      <x:c r="L315" s="52" t="str">
        <x:v>69  La Brisa</x:v>
      </x:c>
      <x:c r="M315" s="52" t="str">
        <x:v>69  La Brisa</x:v>
      </x:c>
      <x:c r="N315" s="52" t="str">
        <x:v>69  La Brisa</x:v>
      </x:c>
    </x:row>
    <x:row r="316" ht="18" customHeight="1">
      <x:c r="A316" s="52" t="str">
        <x:v>67  Warung Biah Biah</x:v>
      </x:c>
      <x:c r="B316" s="52" t="str">
        <x:v>67  Warung Biah Biah</x:v>
      </x:c>
      <x:c r="C316" s="52" t="str">
        <x:v>67  Warung Biah Biah</x:v>
      </x:c>
      <x:c r="D316" s="52" t="str">
        <x:v>67  Warung Biah Biah</x:v>
      </x:c>
      <x:c r="E316" s="4"/>
      <x:c r="F316" s="52" t="str">
        <x:v>68  Warung Mami Ikan Bakar</x:v>
      </x:c>
      <x:c r="G316" s="52" t="str">
        <x:v>68  Warung Mami Ikan Bakar</x:v>
      </x:c>
      <x:c r="H316" s="52" t="str">
        <x:v>68  Warung Mami Ikan Bakar</x:v>
      </x:c>
      <x:c r="I316" s="52" t="str">
        <x:v>68  Warung Mami Ikan Bakar</x:v>
      </x:c>
      <x:c r="J316" s="4"/>
      <x:c r="K316" s="52" t="str">
        <x:v>69  La Brisa</x:v>
      </x:c>
      <x:c r="L316" s="52" t="str">
        <x:v>69  La Brisa</x:v>
      </x:c>
      <x:c r="M316" s="52" t="str">
        <x:v>69  La Brisa</x:v>
      </x:c>
      <x:c r="N316" s="52" t="str">
        <x:v>69  La Brisa</x:v>
      </x:c>
    </x:row>
    <x:row r="317" ht="18" customHeight="1">
      <x:c r="A317" s="4"/>
      <x:c r="B317" s="4"/>
      <x:c r="C317" s="4"/>
      <x:c r="D317" s="4"/>
      <x:c r="E317" s="4"/>
      <x:c r="F317" s="4"/>
      <x:c r="G317" s="4"/>
      <x:c r="H317" s="4"/>
      <x:c r="I317" s="4"/>
      <x:c r="J317" s="4"/>
      <x:c r="K317" s="4"/>
      <x:c r="L317" s="4"/>
      <x:c r="M317" s="4"/>
      <x:c r="N317" s="4"/>
    </x:row>
    <x:row r="318" ht="18" customHeight="1">
      <x:c r="A318" s="4"/>
      <x:c r="B318" s="4"/>
      <x:c r="C318" s="4"/>
      <x:c r="D318" s="4"/>
      <x:c r="E318" s="4"/>
      <x:c r="F318" s="4"/>
      <x:c r="G318" s="4"/>
      <x:c r="H318" s="4"/>
      <x:c r="I318" s="4"/>
      <x:c r="J318" s="4"/>
      <x:c r="K318" s="4"/>
      <x:c r="L318" s="4"/>
      <x:c r="M318" s="4"/>
      <x:c r="N318" s="4"/>
    </x:row>
    <x:row r="319" ht="18" customHeight="1">
      <x:c r="A319" s="4"/>
      <x:c r="B319" s="4"/>
      <x:c r="C319" s="4"/>
      <x:c r="D319" s="4"/>
      <x:c r="E319" s="4"/>
      <x:c r="F319" s="4"/>
      <x:c r="G319" s="4"/>
      <x:c r="H319" s="4"/>
      <x:c r="I319" s="4"/>
      <x:c r="J319" s="4"/>
      <x:c r="K319" s="4"/>
      <x:c r="L319" s="4"/>
      <x:c r="M319" s="4"/>
      <x:c r="N319" s="4"/>
    </x:row>
    <x:row r="320" ht="18" customHeight="1">
      <x:c r="A320" s="4"/>
      <x:c r="B320" s="4"/>
      <x:c r="C320" s="4"/>
      <x:c r="D320" s="4"/>
      <x:c r="E320" s="4"/>
      <x:c r="F320" s="4"/>
      <x:c r="G320" s="4"/>
      <x:c r="H320" s="4"/>
      <x:c r="I320" s="4"/>
      <x:c r="J320" s="4"/>
      <x:c r="K320" s="4"/>
      <x:c r="L320" s="4"/>
      <x:c r="M320" s="4"/>
      <x:c r="N320" s="4"/>
    </x:row>
    <x:row r="321" ht="18" customHeight="1">
      <x:c r="A321" s="4"/>
      <x:c r="B321" s="4"/>
      <x:c r="C321" s="4"/>
      <x:c r="D321" s="4"/>
      <x:c r="E321" s="4"/>
      <x:c r="F321" s="4"/>
      <x:c r="G321" s="4"/>
      <x:c r="H321" s="4"/>
      <x:c r="I321" s="4"/>
      <x:c r="J321" s="4"/>
      <x:c r="K321" s="4"/>
      <x:c r="L321" s="4"/>
      <x:c r="M321" s="4"/>
      <x:c r="N321" s="4"/>
    </x:row>
    <x:row r="322" ht="18" customHeight="1">
      <x:c r="A322" s="4"/>
      <x:c r="B322" s="4"/>
      <x:c r="C322" s="4"/>
      <x:c r="D322" s="4"/>
      <x:c r="E322" s="4"/>
      <x:c r="F322" s="4"/>
      <x:c r="G322" s="4"/>
      <x:c r="H322" s="4"/>
      <x:c r="I322" s="4"/>
      <x:c r="J322" s="4"/>
      <x:c r="K322" s="4"/>
      <x:c r="L322" s="4"/>
      <x:c r="M322" s="4"/>
      <x:c r="N322" s="4"/>
    </x:row>
    <x:row r="323" ht="18" customHeight="1">
      <x:c r="A323" s="4"/>
      <x:c r="B323" s="4"/>
      <x:c r="C323" s="4"/>
      <x:c r="D323" s="4"/>
      <x:c r="E323" s="4"/>
      <x:c r="F323" s="4"/>
      <x:c r="G323" s="4"/>
      <x:c r="H323" s="4"/>
      <x:c r="I323" s="4"/>
      <x:c r="J323" s="4"/>
      <x:c r="K323" s="4"/>
      <x:c r="L323" s="4"/>
      <x:c r="M323" s="4"/>
      <x:c r="N323" s="4"/>
    </x:row>
    <x:row r="324" ht="18" customHeight="1">
      <x:c r="A324" s="4"/>
      <x:c r="B324" s="4"/>
      <x:c r="C324" s="4"/>
      <x:c r="D324" s="4"/>
      <x:c r="E324" s="4"/>
      <x:c r="F324" s="4"/>
      <x:c r="G324" s="4"/>
      <x:c r="H324" s="4"/>
      <x:c r="I324" s="4"/>
      <x:c r="J324" s="4"/>
      <x:c r="K324" s="4"/>
      <x:c r="L324" s="4"/>
      <x:c r="M324" s="4"/>
      <x:c r="N324" s="4"/>
    </x:row>
    <x:row r="325" ht="18" customHeight="1">
      <x:c r="A325" s="47" t="str">
        <x:v>Небольшие порции балийских блюд: удобно попробовать несколько вкусов.</x:v>
      </x:c>
      <x:c r="B325" s="47" t="str">
        <x:v>Небольшие порции балийских блюд: удобно попробовать несколько вкусов.</x:v>
      </x:c>
      <x:c r="C325" s="47" t="str">
        <x:v>Небольшие порции балийских блюд: удобно попробовать несколько вкусов.</x:v>
      </x:c>
      <x:c r="D325" s="47" t="str">
        <x:v>Небольшие порции балийских блюд: удобно попробовать несколько вкусов.</x:v>
      </x:c>
      <x:c r="E325" s="4"/>
      <x:c r="F325" s="47" t="str">
        <x:v>Рыба, креветки и моллюски на гриле в простом варунге Джимбарана.</x:v>
      </x:c>
      <x:c r="G325" s="47" t="str">
        <x:v>Рыба, креветки и моллюски на гриле в простом варунге Джимбарана.</x:v>
      </x:c>
      <x:c r="H325" s="47" t="str">
        <x:v>Рыба, креветки и моллюски на гриле в простом варунге Джимбарана.</x:v>
      </x:c>
      <x:c r="I325" s="47" t="str">
        <x:v>Рыба, креветки и моллюски на гриле в простом варунге Джимбарана.</x:v>
      </x:c>
      <x:c r="J325" s="4"/>
      <x:c r="K325" s="47" t="str">
        <x:v>Beach club на Echo Beach: закат, коктейли, деревянный интерьер.</x:v>
      </x:c>
      <x:c r="L325" s="47" t="str">
        <x:v>Beach club на Echo Beach: закат, коктейли, деревянный интерьер.</x:v>
      </x:c>
      <x:c r="M325" s="47" t="str">
        <x:v>Beach club на Echo Beach: закат, коктейли, деревянный интерьер.</x:v>
      </x:c>
      <x:c r="N325" s="47" t="str">
        <x:v>Beach club на Echo Beach: закат, коктейли, деревянный интерьер.</x:v>
      </x:c>
    </x:row>
    <x:row r="326" ht="18" customHeight="1">
      <x:c r="A326" s="47" t="str">
        <x:v>Небольшие порции балийских блюд: удобно попробовать несколько вкусов.</x:v>
      </x:c>
      <x:c r="B326" s="47" t="str">
        <x:v>Небольшие порции балийских блюд: удобно попробовать несколько вкусов.</x:v>
      </x:c>
      <x:c r="C326" s="47" t="str">
        <x:v>Небольшие порции балийских блюд: удобно попробовать несколько вкусов.</x:v>
      </x:c>
      <x:c r="D326" s="47" t="str">
        <x:v>Небольшие порции балийских блюд: удобно попробовать несколько вкусов.</x:v>
      </x:c>
      <x:c r="E326" s="4"/>
      <x:c r="F326" s="47" t="str">
        <x:v>Рыба, креветки и моллюски на гриле в простом варунге Джимбарана.</x:v>
      </x:c>
      <x:c r="G326" s="47" t="str">
        <x:v>Рыба, креветки и моллюски на гриле в простом варунге Джимбарана.</x:v>
      </x:c>
      <x:c r="H326" s="47" t="str">
        <x:v>Рыба, креветки и моллюски на гриле в простом варунге Джимбарана.</x:v>
      </x:c>
      <x:c r="I326" s="47" t="str">
        <x:v>Рыба, креветки и моллюски на гриле в простом варунге Джимбарана.</x:v>
      </x:c>
      <x:c r="J326" s="4"/>
      <x:c r="K326" s="47" t="str">
        <x:v>Beach club на Echo Beach: закат, коктейли, деревянный интерьер.</x:v>
      </x:c>
      <x:c r="L326" s="47" t="str">
        <x:v>Beach club на Echo Beach: закат, коктейли, деревянный интерьер.</x:v>
      </x:c>
      <x:c r="M326" s="47" t="str">
        <x:v>Beach club на Echo Beach: закат, коктейли, деревянный интерьер.</x:v>
      </x:c>
      <x:c r="N326" s="47" t="str">
        <x:v>Beach club на Echo Beach: закат, коктейли, деревянный интерьер.</x:v>
      </x:c>
    </x:row>
    <x:row r="327" ht="18" customHeight="1">
      <x:c r="A327" s="48" t="str">
        <x:v>Убуд  •  TA 4.1 / 5  •  Известное</x:v>
      </x:c>
      <x:c r="B327" s="48" t="str">
        <x:v>Убуд  •  TA 4.1 / 5  •  Известное</x:v>
      </x:c>
      <x:c r="C327" s="48" t="str">
        <x:v>Убуд  •  TA 4.1 / 5  •  Известное</x:v>
      </x:c>
      <x:c r="D327" s="48" t="str">
        <x:v>Убуд  •  TA 4.1 / 5  •  Известное</x:v>
      </x:c>
      <x:c r="E327" s="4"/>
      <x:c r="F327" s="48" t="str">
        <x:v>Джимбаран  •  TA 4.5 / 5  •  Неочевидное</x:v>
      </x:c>
      <x:c r="G327" s="48" t="str">
        <x:v>Джимбаран  •  TA 4.5 / 5  •  Неочевидное</x:v>
      </x:c>
      <x:c r="H327" s="48" t="str">
        <x:v>Джимбаран  •  TA 4.5 / 5  •  Неочевидное</x:v>
      </x:c>
      <x:c r="I327" s="48" t="str">
        <x:v>Джимбаран  •  TA 4.5 / 5  •  Неочевидное</x:v>
      </x:c>
      <x:c r="J327" s="4"/>
      <x:c r="K327" s="48" t="str">
        <x:v>Чангу  •  TA 4.1 / 5  •  Известное</x:v>
      </x:c>
      <x:c r="L327" s="48" t="str">
        <x:v>Чангу  •  TA 4.1 / 5  •  Известное</x:v>
      </x:c>
      <x:c r="M327" s="48" t="str">
        <x:v>Чангу  •  TA 4.1 / 5  •  Известное</x:v>
      </x:c>
      <x:c r="N327" s="48" t="str">
        <x:v>Чангу  •  TA 4.1 / 5  •  Известное</x:v>
      </x:c>
    </x:row>
    <x:row r="328" ht="18" customHeight="1">
      <x:c r="A328" s="8" t="str">
        <x:f>HYPERLINK("#'Места'!A30","В список →")</x:f>
        <x:v>В список →</x:v>
      </x:c>
      <x:c r="B328" s="4"/>
      <x:c r="C328" s="8" t="str">
        <x:f>HYPERLINK("https://dynamic-media-cdn.tripadvisor.com/media/photo-o/02/6a/03/d0/caption.jpg?h=500&amp;s=1&amp;w=900","Источник ↗")</x:f>
        <x:v>Источник ↗</x:v>
      </x:c>
      <x:c r="D328" s="4"/>
      <x:c r="E328" s="4"/>
      <x:c r="F328" s="8" t="str">
        <x:f>HYPERLINK("#'Места'!A70","В список →")</x:f>
        <x:v>В список →</x:v>
      </x:c>
      <x:c r="G328" s="4"/>
      <x:c r="H328" s="8" t="str">
        <x:f>HYPERLINK("https://dynamic-media-cdn.tripadvisor.com/media/photo-o/15/3a/06/f6/photo2jpg.jpg?h=500&amp;s=1&amp;w=900","Источник ↗")</x:f>
        <x:v>Источник ↗</x:v>
      </x:c>
      <x:c r="I328" s="4"/>
      <x:c r="J328" s="4"/>
      <x:c r="K328" s="8" t="str">
        <x:f>HYPERLINK("#'Места'!A35","В список →")</x:f>
        <x:v>В список →</x:v>
      </x:c>
      <x:c r="L328" s="4"/>
      <x:c r="M328" s="8" t="str">
        <x:f>HYPERLINK("https://dynamic-media-cdn.tripadvisor.com/media/photo-o/17/44/fa/90/sunset-time.jpg?h=500&amp;s=1&amp;w=900","Источник ↗")</x:f>
        <x:v>Источник ↗</x:v>
      </x:c>
      <x:c r="N328" s="4"/>
    </x:row>
    <x:row r="329" ht="18" customHeight="1">
      <x:c r="A329" s="52" t="str">
        <x:v>70  Zest Ubud</x:v>
      </x:c>
      <x:c r="B329" s="52" t="str">
        <x:v>70  Zest Ubud</x:v>
      </x:c>
      <x:c r="C329" s="52" t="str">
        <x:v>70  Zest Ubud</x:v>
      </x:c>
      <x:c r="D329" s="52" t="str">
        <x:v>70  Zest Ubud</x:v>
      </x:c>
      <x:c r="E329" s="4"/>
      <x:c r="F329" s="52" t="str">
        <x:v>71  Sate Babi Bawah Pohon</x:v>
      </x:c>
      <x:c r="G329" s="52" t="str">
        <x:v>71  Sate Babi Bawah Pohon</x:v>
      </x:c>
      <x:c r="H329" s="52" t="str">
        <x:v>71  Sate Babi Bawah Pohon</x:v>
      </x:c>
      <x:c r="I329" s="52" t="str">
        <x:v>71  Sate Babi Bawah Pohon</x:v>
      </x:c>
      <x:c r="J329" s="4"/>
      <x:c r="K329" s="52" t="str">
        <x:v>72  BAKED. Berawa</x:v>
      </x:c>
      <x:c r="L329" s="52" t="str">
        <x:v>72  BAKED. Berawa</x:v>
      </x:c>
      <x:c r="M329" s="52" t="str">
        <x:v>72  BAKED. Berawa</x:v>
      </x:c>
      <x:c r="N329" s="52" t="str">
        <x:v>72  BAKED. Berawa</x:v>
      </x:c>
    </x:row>
    <x:row r="330" ht="18" customHeight="1">
      <x:c r="A330" s="52" t="str">
        <x:v>70  Zest Ubud</x:v>
      </x:c>
      <x:c r="B330" s="52" t="str">
        <x:v>70  Zest Ubud</x:v>
      </x:c>
      <x:c r="C330" s="52" t="str">
        <x:v>70  Zest Ubud</x:v>
      </x:c>
      <x:c r="D330" s="52" t="str">
        <x:v>70  Zest Ubud</x:v>
      </x:c>
      <x:c r="E330" s="4"/>
      <x:c r="F330" s="52" t="str">
        <x:v>71  Sate Babi Bawah Pohon</x:v>
      </x:c>
      <x:c r="G330" s="52" t="str">
        <x:v>71  Sate Babi Bawah Pohon</x:v>
      </x:c>
      <x:c r="H330" s="52" t="str">
        <x:v>71  Sate Babi Bawah Pohon</x:v>
      </x:c>
      <x:c r="I330" s="52" t="str">
        <x:v>71  Sate Babi Bawah Pohon</x:v>
      </x:c>
      <x:c r="J330" s="4"/>
      <x:c r="K330" s="52" t="str">
        <x:v>72  BAKED. Berawa</x:v>
      </x:c>
      <x:c r="L330" s="52" t="str">
        <x:v>72  BAKED. Berawa</x:v>
      </x:c>
      <x:c r="M330" s="52" t="str">
        <x:v>72  BAKED. Berawa</x:v>
      </x:c>
      <x:c r="N330" s="52" t="str">
        <x:v>72  BAKED. Berawa</x:v>
      </x:c>
    </x:row>
    <x:row r="331" ht="18" customHeight="1">
      <x:c r="A331" s="4"/>
      <x:c r="B331" s="4"/>
      <x:c r="C331" s="4"/>
      <x:c r="D331" s="4"/>
      <x:c r="E331" s="4"/>
      <x:c r="F331" s="4"/>
      <x:c r="G331" s="4"/>
      <x:c r="H331" s="4"/>
      <x:c r="I331" s="4"/>
      <x:c r="J331" s="4"/>
      <x:c r="K331" s="4"/>
      <x:c r="L331" s="4"/>
      <x:c r="M331" s="4"/>
      <x:c r="N331" s="4"/>
    </x:row>
    <x:row r="332" ht="18" customHeight="1">
      <x:c r="A332" s="4"/>
      <x:c r="B332" s="4"/>
      <x:c r="C332" s="4"/>
      <x:c r="D332" s="4"/>
      <x:c r="E332" s="4"/>
      <x:c r="F332" s="4"/>
      <x:c r="G332" s="4"/>
      <x:c r="H332" s="4"/>
      <x:c r="I332" s="4"/>
      <x:c r="J332" s="4"/>
      <x:c r="K332" s="4"/>
      <x:c r="L332" s="4"/>
      <x:c r="M332" s="4"/>
      <x:c r="N332" s="4"/>
    </x:row>
    <x:row r="333" ht="18" customHeight="1">
      <x:c r="A333" s="4"/>
      <x:c r="B333" s="4"/>
      <x:c r="C333" s="4"/>
      <x:c r="D333" s="4"/>
      <x:c r="E333" s="4"/>
      <x:c r="F333" s="4"/>
      <x:c r="G333" s="4"/>
      <x:c r="H333" s="4"/>
      <x:c r="I333" s="4"/>
      <x:c r="J333" s="4"/>
      <x:c r="K333" s="4"/>
      <x:c r="L333" s="4"/>
      <x:c r="M333" s="4"/>
      <x:c r="N333" s="4"/>
    </x:row>
    <x:row r="334" ht="18" customHeight="1">
      <x:c r="A334" s="4"/>
      <x:c r="B334" s="4"/>
      <x:c r="C334" s="4"/>
      <x:c r="D334" s="4"/>
      <x:c r="E334" s="4"/>
      <x:c r="F334" s="4"/>
      <x:c r="G334" s="4"/>
      <x:c r="H334" s="4"/>
      <x:c r="I334" s="4"/>
      <x:c r="J334" s="4"/>
      <x:c r="K334" s="4"/>
      <x:c r="L334" s="4"/>
      <x:c r="M334" s="4"/>
      <x:c r="N334" s="4"/>
    </x:row>
    <x:row r="335" ht="18" customHeight="1">
      <x:c r="A335" s="4"/>
      <x:c r="B335" s="4"/>
      <x:c r="C335" s="4"/>
      <x:c r="D335" s="4"/>
      <x:c r="E335" s="4"/>
      <x:c r="F335" s="4"/>
      <x:c r="G335" s="4"/>
      <x:c r="H335" s="4"/>
      <x:c r="I335" s="4"/>
      <x:c r="J335" s="4"/>
      <x:c r="K335" s="4"/>
      <x:c r="L335" s="4"/>
      <x:c r="M335" s="4"/>
      <x:c r="N335" s="4"/>
    </x:row>
    <x:row r="336" ht="18" customHeight="1">
      <x:c r="A336" s="4"/>
      <x:c r="B336" s="4"/>
      <x:c r="C336" s="4"/>
      <x:c r="D336" s="4"/>
      <x:c r="E336" s="4"/>
      <x:c r="F336" s="4"/>
      <x:c r="G336" s="4"/>
      <x:c r="H336" s="4"/>
      <x:c r="I336" s="4"/>
      <x:c r="J336" s="4"/>
      <x:c r="K336" s="4"/>
      <x:c r="L336" s="4"/>
      <x:c r="M336" s="4"/>
      <x:c r="N336" s="4"/>
    </x:row>
    <x:row r="337" ht="18" customHeight="1">
      <x:c r="A337" s="4"/>
      <x:c r="B337" s="4"/>
      <x:c r="C337" s="4"/>
      <x:c r="D337" s="4"/>
      <x:c r="E337" s="4"/>
      <x:c r="F337" s="4"/>
      <x:c r="G337" s="4"/>
      <x:c r="H337" s="4"/>
      <x:c r="I337" s="4"/>
      <x:c r="J337" s="4"/>
      <x:c r="K337" s="4"/>
      <x:c r="L337" s="4"/>
      <x:c r="M337" s="4"/>
      <x:c r="N337" s="4"/>
    </x:row>
    <x:row r="338" ht="18" customHeight="1">
      <x:c r="A338" s="4"/>
      <x:c r="B338" s="4"/>
      <x:c r="C338" s="4"/>
      <x:c r="D338" s="4"/>
      <x:c r="E338" s="4"/>
      <x:c r="F338" s="4"/>
      <x:c r="G338" s="4"/>
      <x:c r="H338" s="4"/>
      <x:c r="I338" s="4"/>
      <x:c r="J338" s="4"/>
      <x:c r="K338" s="4"/>
      <x:c r="L338" s="4"/>
      <x:c r="M338" s="4"/>
      <x:c r="N338" s="4"/>
    </x:row>
    <x:row r="339" ht="18" customHeight="1">
      <x:c r="A339" s="47" t="str">
        <x:v>Растительная кухня, зелень и выразительный интерьер над долиной.</x:v>
      </x:c>
      <x:c r="B339" s="47" t="str">
        <x:v>Растительная кухня, зелень и выразительный интерьер над долиной.</x:v>
      </x:c>
      <x:c r="C339" s="47" t="str">
        <x:v>Растительная кухня, зелень и выразительный интерьер над долиной.</x:v>
      </x:c>
      <x:c r="D339" s="47" t="str">
        <x:v>Растительная кухня, зелень и выразительный интерьер над долиной.</x:v>
      </x:c>
      <x:c r="E339" s="4"/>
      <x:c r="F339" s="47" t="str">
        <x:v>Свиные шашлычки sate babi, рис и lontong.</x:v>
      </x:c>
      <x:c r="G339" s="47" t="str">
        <x:v>Свиные шашлычки sate babi, рис и lontong.</x:v>
      </x:c>
      <x:c r="H339" s="47" t="str">
        <x:v>Свиные шашлычки sate babi, рис и lontong.</x:v>
      </x:c>
      <x:c r="I339" s="47" t="str">
        <x:v>Свиные шашлычки sate babi, рис и lontong.</x:v>
      </x:c>
      <x:c r="J339" s="4"/>
      <x:c r="K339" s="47" t="str">
        <x:v>Кофе, круассаны, выпечка и поздний завтрак в Бераве.</x:v>
      </x:c>
      <x:c r="L339" s="47" t="str">
        <x:v>Кофе, круассаны, выпечка и поздний завтрак в Бераве.</x:v>
      </x:c>
      <x:c r="M339" s="47" t="str">
        <x:v>Кофе, круассаны, выпечка и поздний завтрак в Бераве.</x:v>
      </x:c>
      <x:c r="N339" s="47" t="str">
        <x:v>Кофе, круассаны, выпечка и поздний завтрак в Бераве.</x:v>
      </x:c>
    </x:row>
    <x:row r="340" ht="18" customHeight="1">
      <x:c r="A340" s="47" t="str">
        <x:v>Растительная кухня, зелень и выразительный интерьер над долиной.</x:v>
      </x:c>
      <x:c r="B340" s="47" t="str">
        <x:v>Растительная кухня, зелень и выразительный интерьер над долиной.</x:v>
      </x:c>
      <x:c r="C340" s="47" t="str">
        <x:v>Растительная кухня, зелень и выразительный интерьер над долиной.</x:v>
      </x:c>
      <x:c r="D340" s="47" t="str">
        <x:v>Растительная кухня, зелень и выразительный интерьер над долиной.</x:v>
      </x:c>
      <x:c r="E340" s="4"/>
      <x:c r="F340" s="47" t="str">
        <x:v>Свиные шашлычки sate babi, рис и lontong.</x:v>
      </x:c>
      <x:c r="G340" s="47" t="str">
        <x:v>Свиные шашлычки sate babi, рис и lontong.</x:v>
      </x:c>
      <x:c r="H340" s="47" t="str">
        <x:v>Свиные шашлычки sate babi, рис и lontong.</x:v>
      </x:c>
      <x:c r="I340" s="47" t="str">
        <x:v>Свиные шашлычки sate babi, рис и lontong.</x:v>
      </x:c>
      <x:c r="J340" s="4"/>
      <x:c r="K340" s="47" t="str">
        <x:v>Кофе, круассаны, выпечка и поздний завтрак в Бераве.</x:v>
      </x:c>
      <x:c r="L340" s="47" t="str">
        <x:v>Кофе, круассаны, выпечка и поздний завтрак в Бераве.</x:v>
      </x:c>
      <x:c r="M340" s="47" t="str">
        <x:v>Кофе, круассаны, выпечка и поздний завтрак в Бераве.</x:v>
      </x:c>
      <x:c r="N340" s="47" t="str">
        <x:v>Кофе, круассаны, выпечка и поздний завтрак в Бераве.</x:v>
      </x:c>
    </x:row>
    <x:row r="341" ht="18" customHeight="1">
      <x:c r="A341" s="48" t="str">
        <x:v>Убуд  •  TA 4.3 / 5  •  Известное</x:v>
      </x:c>
      <x:c r="B341" s="48" t="str">
        <x:v>Убуд  •  TA 4.3 / 5  •  Известное</x:v>
      </x:c>
      <x:c r="C341" s="48" t="str">
        <x:v>Убуд  •  TA 4.3 / 5  •  Известное</x:v>
      </x:c>
      <x:c r="D341" s="48" t="str">
        <x:v>Убуд  •  TA 4.3 / 5  •  Известное</x:v>
      </x:c>
      <x:c r="E341" s="4"/>
      <x:c r="F341" s="48" t="str">
        <x:v>Легиан  •  TA 4.3 / 5  •  Неочевидное</x:v>
      </x:c>
      <x:c r="G341" s="48" t="str">
        <x:v>Легиан  •  TA 4.3 / 5  •  Неочевидное</x:v>
      </x:c>
      <x:c r="H341" s="48" t="str">
        <x:v>Легиан  •  TA 4.3 / 5  •  Неочевидное</x:v>
      </x:c>
      <x:c r="I341" s="48" t="str">
        <x:v>Легиан  •  TA 4.3 / 5  •  Неочевидное</x:v>
      </x:c>
      <x:c r="J341" s="4"/>
      <x:c r="K341" s="48" t="str">
        <x:v>Чангу  •  TA 3.8 / 5  •  Известное</x:v>
      </x:c>
      <x:c r="L341" s="48" t="str">
        <x:v>Чангу  •  TA 3.8 / 5  •  Известное</x:v>
      </x:c>
      <x:c r="M341" s="48" t="str">
        <x:v>Чангу  •  TA 3.8 / 5  •  Известное</x:v>
      </x:c>
      <x:c r="N341" s="48" t="str">
        <x:v>Чангу  •  TA 3.8 / 5  •  Известное</x:v>
      </x:c>
    </x:row>
    <x:row r="342" ht="18" customHeight="1">
      <x:c r="A342" s="8" t="str">
        <x:f>HYPERLINK("#'Места'!A51","В список →")</x:f>
        <x:v>В список →</x:v>
      </x:c>
      <x:c r="B342" s="4"/>
      <x:c r="C342" s="8" t="str">
        <x:f>HYPERLINK("https://dynamic-media-cdn.tripadvisor.com/media/photo-o/14/92/18/66/zest-is-100-powered-by.jpg?h=500&amp;s=1&amp;w=900","Источник ↗")</x:f>
        <x:v>Источник ↗</x:v>
      </x:c>
      <x:c r="D342" s="4"/>
      <x:c r="E342" s="4"/>
      <x:c r="F342" s="8" t="str">
        <x:f>HYPERLINK("#'Места'!A75","В список →")</x:f>
        <x:v>В список →</x:v>
      </x:c>
      <x:c r="G342" s="4"/>
      <x:c r="H342" s="8" t="str">
        <x:f>HYPERLINK("https://dynamic-media-cdn.tripadvisor.com/media/photo-o/21/de/0a/cd/20220106-130314-largejpg.jpg?h=500&amp;s=1&amp;w=900","Источник ↗")</x:f>
        <x:v>Источник ↗</x:v>
      </x:c>
      <x:c r="I342" s="4"/>
      <x:c r="J342" s="4"/>
      <x:c r="K342" s="8" t="str">
        <x:f>HYPERLINK("#'Места'!A78","В список →")</x:f>
        <x:v>В список →</x:v>
      </x:c>
      <x:c r="L342" s="4"/>
      <x:c r="M342" s="8" t="str">
        <x:f>HYPERLINK("https://dynamic-media-cdn.tripadvisor.com/media/photo-o/1a/e3/23/84/getlstd-property-photo.jpg?h=500&amp;s=1&amp;w=900","Источник ↗")</x:f>
        <x:v>Источник ↗</x:v>
      </x:c>
      <x:c r="N342" s="4"/>
    </x:row>
    <x:row r="343" ht="18" customHeight="1">
      <x:c r="A343" s="52" t="str">
        <x:v>73  Pison Ubud</x:v>
      </x:c>
      <x:c r="B343" s="52" t="str">
        <x:v>73  Pison Ubud</x:v>
      </x:c>
      <x:c r="C343" s="52" t="str">
        <x:v>73  Pison Ubud</x:v>
      </x:c>
      <x:c r="D343" s="52" t="str">
        <x:v>73  Pison Ubud</x:v>
      </x:c>
      <x:c r="E343" s="4"/>
      <x:c r="F343" s="4"/>
      <x:c r="G343" s="4"/>
      <x:c r="H343" s="4"/>
      <x:c r="I343" s="4"/>
      <x:c r="J343" s="4"/>
      <x:c r="K343" s="4"/>
      <x:c r="L343" s="4"/>
      <x:c r="M343" s="4"/>
      <x:c r="N343" s="4"/>
    </x:row>
    <x:row r="344" ht="18" customHeight="1">
      <x:c r="A344" s="52" t="str">
        <x:v>73  Pison Ubud</x:v>
      </x:c>
      <x:c r="B344" s="52" t="str">
        <x:v>73  Pison Ubud</x:v>
      </x:c>
      <x:c r="C344" s="52" t="str">
        <x:v>73  Pison Ubud</x:v>
      </x:c>
      <x:c r="D344" s="52" t="str">
        <x:v>73  Pison Ubud</x:v>
      </x:c>
      <x:c r="E344" s="4"/>
      <x:c r="F344" s="4"/>
      <x:c r="G344" s="4"/>
      <x:c r="H344" s="4"/>
      <x:c r="I344" s="4"/>
      <x:c r="J344" s="4"/>
      <x:c r="K344" s="4"/>
      <x:c r="L344" s="4"/>
      <x:c r="M344" s="4"/>
      <x:c r="N344" s="4"/>
    </x:row>
    <x:row r="345" ht="18" customHeight="1">
      <x:c r="A345" s="4"/>
      <x:c r="B345" s="4"/>
      <x:c r="C345" s="4"/>
      <x:c r="D345" s="4"/>
      <x:c r="E345" s="4"/>
      <x:c r="F345" s="4"/>
      <x:c r="G345" s="4"/>
      <x:c r="H345" s="4"/>
      <x:c r="I345" s="4"/>
      <x:c r="J345" s="4"/>
      <x:c r="K345" s="4"/>
      <x:c r="L345" s="4"/>
      <x:c r="M345" s="4"/>
      <x:c r="N345" s="4"/>
    </x:row>
    <x:row r="346" ht="18" customHeight="1">
      <x:c r="A346" s="4"/>
      <x:c r="B346" s="4"/>
      <x:c r="C346" s="4"/>
      <x:c r="D346" s="4"/>
      <x:c r="E346" s="4"/>
      <x:c r="F346" s="4"/>
      <x:c r="G346" s="4"/>
      <x:c r="H346" s="4"/>
      <x:c r="I346" s="4"/>
      <x:c r="J346" s="4"/>
      <x:c r="K346" s="4"/>
      <x:c r="L346" s="4"/>
      <x:c r="M346" s="4"/>
      <x:c r="N346" s="4"/>
    </x:row>
    <x:row r="347" ht="18" customHeight="1">
      <x:c r="A347" s="4"/>
      <x:c r="B347" s="4"/>
      <x:c r="C347" s="4"/>
      <x:c r="D347" s="4"/>
      <x:c r="E347" s="4"/>
      <x:c r="F347" s="4"/>
      <x:c r="G347" s="4"/>
      <x:c r="H347" s="4"/>
      <x:c r="I347" s="4"/>
      <x:c r="J347" s="4"/>
      <x:c r="K347" s="4"/>
      <x:c r="L347" s="4"/>
      <x:c r="M347" s="4"/>
      <x:c r="N347" s="4"/>
    </x:row>
    <x:row r="348" ht="18" customHeight="1">
      <x:c r="A348" s="4"/>
      <x:c r="B348" s="4"/>
      <x:c r="C348" s="4"/>
      <x:c r="D348" s="4"/>
      <x:c r="E348" s="4"/>
      <x:c r="F348" s="4"/>
      <x:c r="G348" s="4"/>
      <x:c r="H348" s="4"/>
      <x:c r="I348" s="4"/>
      <x:c r="J348" s="4"/>
      <x:c r="K348" s="4"/>
      <x:c r="L348" s="4"/>
      <x:c r="M348" s="4"/>
      <x:c r="N348" s="4"/>
    </x:row>
    <x:row r="349" ht="18" customHeight="1">
      <x:c r="A349" s="4"/>
      <x:c r="B349" s="4"/>
      <x:c r="C349" s="4"/>
      <x:c r="D349" s="4"/>
      <x:c r="E349" s="4"/>
      <x:c r="F349" s="4"/>
      <x:c r="G349" s="4"/>
      <x:c r="H349" s="4"/>
      <x:c r="I349" s="4"/>
      <x:c r="J349" s="4"/>
      <x:c r="K349" s="4"/>
      <x:c r="L349" s="4"/>
      <x:c r="M349" s="4"/>
      <x:c r="N349" s="4"/>
    </x:row>
    <x:row r="350" ht="18" customHeight="1">
      <x:c r="A350" s="4"/>
      <x:c r="B350" s="4"/>
      <x:c r="C350" s="4"/>
      <x:c r="D350" s="4"/>
      <x:c r="E350" s="4"/>
      <x:c r="F350" s="4"/>
      <x:c r="G350" s="4"/>
      <x:c r="H350" s="4"/>
      <x:c r="I350" s="4"/>
      <x:c r="J350" s="4"/>
      <x:c r="K350" s="4"/>
      <x:c r="L350" s="4"/>
      <x:c r="M350" s="4"/>
      <x:c r="N350" s="4"/>
    </x:row>
    <x:row r="351" ht="18" customHeight="1">
      <x:c r="A351" s="4"/>
      <x:c r="B351" s="4"/>
      <x:c r="C351" s="4"/>
      <x:c r="D351" s="4"/>
      <x:c r="E351" s="4"/>
      <x:c r="F351" s="4"/>
      <x:c r="G351" s="4"/>
      <x:c r="H351" s="4"/>
      <x:c r="I351" s="4"/>
      <x:c r="J351" s="4"/>
      <x:c r="K351" s="4"/>
      <x:c r="L351" s="4"/>
      <x:c r="M351" s="4"/>
      <x:c r="N351" s="4"/>
    </x:row>
    <x:row r="352" ht="18" customHeight="1">
      <x:c r="A352" s="4"/>
      <x:c r="B352" s="4"/>
      <x:c r="C352" s="4"/>
      <x:c r="D352" s="4"/>
      <x:c r="E352" s="4"/>
      <x:c r="F352" s="4"/>
      <x:c r="G352" s="4"/>
      <x:c r="H352" s="4"/>
      <x:c r="I352" s="4"/>
      <x:c r="J352" s="4"/>
      <x:c r="K352" s="4"/>
      <x:c r="L352" s="4"/>
      <x:c r="M352" s="4"/>
      <x:c r="N352" s="4"/>
    </x:row>
    <x:row r="353" ht="18" customHeight="1">
      <x:c r="A353" s="47" t="str">
        <x:v>Кофе и сытный завтрак около Monkey Forest.</x:v>
      </x:c>
      <x:c r="B353" s="47" t="str">
        <x:v>Кофе и сытный завтрак около Monkey Forest.</x:v>
      </x:c>
      <x:c r="C353" s="47" t="str">
        <x:v>Кофе и сытный завтрак около Monkey Forest.</x:v>
      </x:c>
      <x:c r="D353" s="47" t="str">
        <x:v>Кофе и сытный завтрак около Monkey Forest.</x:v>
      </x:c>
      <x:c r="E353" s="4"/>
      <x:c r="F353" s="4"/>
      <x:c r="G353" s="4"/>
      <x:c r="H353" s="4"/>
      <x:c r="I353" s="4"/>
      <x:c r="J353" s="4"/>
      <x:c r="K353" s="4"/>
      <x:c r="L353" s="4"/>
      <x:c r="M353" s="4"/>
      <x:c r="N353" s="4"/>
    </x:row>
    <x:row r="354" ht="18" customHeight="1">
      <x:c r="A354" s="47" t="str">
        <x:v>Кофе и сытный завтрак около Monkey Forest.</x:v>
      </x:c>
      <x:c r="B354" s="47" t="str">
        <x:v>Кофе и сытный завтрак около Monkey Forest.</x:v>
      </x:c>
      <x:c r="C354" s="47" t="str">
        <x:v>Кофе и сытный завтрак около Monkey Forest.</x:v>
      </x:c>
      <x:c r="D354" s="47" t="str">
        <x:v>Кофе и сытный завтрак около Monkey Forest.</x:v>
      </x:c>
      <x:c r="E354" s="4"/>
      <x:c r="F354" s="4"/>
      <x:c r="G354" s="4"/>
      <x:c r="H354" s="4"/>
      <x:c r="I354" s="4"/>
      <x:c r="J354" s="4"/>
      <x:c r="K354" s="4"/>
      <x:c r="L354" s="4"/>
      <x:c r="M354" s="4"/>
      <x:c r="N354" s="4"/>
    </x:row>
    <x:row r="355" ht="18" customHeight="1">
      <x:c r="A355" s="48" t="str">
        <x:v>Убуд  •  TA 4.0 / 5  •  Известное</x:v>
      </x:c>
      <x:c r="B355" s="48" t="str">
        <x:v>Убуд  •  TA 4.0 / 5  •  Известное</x:v>
      </x:c>
      <x:c r="C355" s="48" t="str">
        <x:v>Убуд  •  TA 4.0 / 5  •  Известное</x:v>
      </x:c>
      <x:c r="D355" s="48" t="str">
        <x:v>Убуд  •  TA 4.0 / 5  •  Известное</x:v>
      </x:c>
      <x:c r="E355" s="4"/>
      <x:c r="F355" s="4"/>
      <x:c r="G355" s="4"/>
      <x:c r="H355" s="4"/>
      <x:c r="I355" s="4"/>
      <x:c r="J355" s="4"/>
      <x:c r="K355" s="4"/>
      <x:c r="L355" s="4"/>
      <x:c r="M355" s="4"/>
      <x:c r="N355" s="4"/>
    </x:row>
    <x:row r="356" ht="18" customHeight="1">
      <x:c r="A356" s="8" t="str">
        <x:f>HYPERLINK("#'Места'!A66","В список →")</x:f>
        <x:v>В список →</x:v>
      </x:c>
      <x:c r="B356" s="4"/>
      <x:c r="C356" s="8" t="str">
        <x:f>HYPERLINK("https://dynamic-media-cdn.tripadvisor.com/media/photo-o/19/b9/f6/a4/creamy-chicken-croissant.jpg?h=500&amp;s=1&amp;w=900","Источник ↗")</x:f>
        <x:v>Источник ↗</x:v>
      </x:c>
      <x:c r="D356" s="4"/>
      <x:c r="E356" s="4"/>
      <x:c r="F356" s="4"/>
      <x:c r="G356" s="4"/>
      <x:c r="H356" s="4"/>
      <x:c r="I356" s="4"/>
      <x:c r="J356" s="4"/>
      <x:c r="K356" s="4"/>
      <x:c r="L356" s="4"/>
      <x:c r="M356" s="4"/>
      <x:c r="N356" s="4"/>
    </x:row>
    <x:row r="357" ht="18" customHeight="1">
      <x:c r="A357" s="4"/>
      <x:c r="B357" s="4"/>
      <x:c r="C357" s="4"/>
      <x:c r="D357" s="4"/>
      <x:c r="E357" s="4"/>
      <x:c r="F357" s="4"/>
      <x:c r="G357" s="4"/>
      <x:c r="H357" s="4"/>
      <x:c r="I357" s="4"/>
      <x:c r="J357" s="4"/>
      <x:c r="K357" s="4"/>
      <x:c r="L357" s="4"/>
      <x:c r="M357" s="4"/>
      <x:c r="N357" s="4"/>
    </x:row>
  </x:sheetData>
  <x:mergeCells>
    <x:mergeCell ref="A1:N2"/>
    <x:mergeCell ref="A3:N4"/>
    <x:mergeCell ref="A7:D8"/>
    <x:mergeCell ref="A17:D18"/>
    <x:mergeCell ref="A19:D19"/>
    <x:mergeCell ref="A20:B20"/>
    <x:mergeCell ref="C20:D20"/>
    <x:mergeCell ref="F7:I8"/>
    <x:mergeCell ref="F17:I18"/>
    <x:mergeCell ref="F19:I19"/>
    <x:mergeCell ref="F20:G20"/>
    <x:mergeCell ref="H20:I20"/>
    <x:mergeCell ref="K7:N8"/>
    <x:mergeCell ref="K17:N18"/>
    <x:mergeCell ref="K19:N19"/>
    <x:mergeCell ref="K20:L20"/>
    <x:mergeCell ref="M20:N20"/>
    <x:mergeCell ref="A21:D22"/>
    <x:mergeCell ref="A31:D32"/>
    <x:mergeCell ref="A33:D33"/>
    <x:mergeCell ref="A34:B34"/>
    <x:mergeCell ref="C34:D34"/>
    <x:mergeCell ref="F21:I22"/>
    <x:mergeCell ref="F31:I32"/>
    <x:mergeCell ref="F33:I33"/>
    <x:mergeCell ref="F34:G34"/>
    <x:mergeCell ref="H34:I34"/>
    <x:mergeCell ref="K21:N22"/>
    <x:mergeCell ref="K31:N32"/>
    <x:mergeCell ref="K33:N33"/>
    <x:mergeCell ref="K34:L34"/>
    <x:mergeCell ref="M34:N34"/>
    <x:mergeCell ref="A35:D36"/>
    <x:mergeCell ref="A45:D46"/>
    <x:mergeCell ref="A47:D47"/>
    <x:mergeCell ref="A48:B48"/>
    <x:mergeCell ref="C48:D48"/>
    <x:mergeCell ref="F35:I36"/>
    <x:mergeCell ref="F45:I46"/>
    <x:mergeCell ref="F47:I47"/>
    <x:mergeCell ref="F48:G48"/>
    <x:mergeCell ref="H48:I48"/>
    <x:mergeCell ref="K35:N36"/>
    <x:mergeCell ref="K45:N46"/>
    <x:mergeCell ref="K47:N47"/>
    <x:mergeCell ref="K48:L48"/>
    <x:mergeCell ref="M48:N48"/>
    <x:mergeCell ref="A49:D50"/>
    <x:mergeCell ref="A59:D60"/>
    <x:mergeCell ref="A61:D61"/>
    <x:mergeCell ref="A62:B62"/>
    <x:mergeCell ref="C62:D62"/>
    <x:mergeCell ref="F49:I50"/>
    <x:mergeCell ref="F59:I60"/>
    <x:mergeCell ref="F61:I61"/>
    <x:mergeCell ref="F62:G62"/>
    <x:mergeCell ref="H62:I62"/>
    <x:mergeCell ref="K49:N50"/>
    <x:mergeCell ref="K59:N60"/>
    <x:mergeCell ref="K61:N61"/>
    <x:mergeCell ref="K62:L62"/>
    <x:mergeCell ref="M62:N62"/>
    <x:mergeCell ref="A63:D64"/>
    <x:mergeCell ref="A73:D74"/>
    <x:mergeCell ref="A75:D75"/>
    <x:mergeCell ref="A76:B76"/>
    <x:mergeCell ref="C76:D76"/>
    <x:mergeCell ref="F63:I64"/>
    <x:mergeCell ref="F73:I74"/>
    <x:mergeCell ref="F75:I75"/>
    <x:mergeCell ref="F76:G76"/>
    <x:mergeCell ref="H76:I76"/>
    <x:mergeCell ref="K63:N64"/>
    <x:mergeCell ref="K73:N74"/>
    <x:mergeCell ref="K75:N75"/>
    <x:mergeCell ref="K76:L76"/>
    <x:mergeCell ref="M76:N76"/>
    <x:mergeCell ref="A77:D78"/>
    <x:mergeCell ref="A87:D88"/>
    <x:mergeCell ref="A89:D89"/>
    <x:mergeCell ref="A90:B90"/>
    <x:mergeCell ref="C90:D90"/>
    <x:mergeCell ref="F77:I78"/>
    <x:mergeCell ref="F87:I88"/>
    <x:mergeCell ref="F89:I89"/>
    <x:mergeCell ref="F90:G90"/>
    <x:mergeCell ref="H90:I90"/>
    <x:mergeCell ref="K77:N78"/>
    <x:mergeCell ref="K87:N88"/>
    <x:mergeCell ref="K89:N89"/>
    <x:mergeCell ref="K90:L90"/>
    <x:mergeCell ref="M90:N90"/>
    <x:mergeCell ref="A91:D92"/>
    <x:mergeCell ref="A101:D102"/>
    <x:mergeCell ref="A103:D103"/>
    <x:mergeCell ref="A104:B104"/>
    <x:mergeCell ref="C104:D104"/>
    <x:mergeCell ref="F91:I92"/>
    <x:mergeCell ref="F101:I102"/>
    <x:mergeCell ref="F103:I103"/>
    <x:mergeCell ref="F104:G104"/>
    <x:mergeCell ref="H104:I104"/>
    <x:mergeCell ref="K91:N92"/>
    <x:mergeCell ref="K101:N102"/>
    <x:mergeCell ref="K103:N103"/>
    <x:mergeCell ref="K104:L104"/>
    <x:mergeCell ref="M104:N104"/>
    <x:mergeCell ref="A105:D106"/>
    <x:mergeCell ref="A115:D116"/>
    <x:mergeCell ref="A117:D117"/>
    <x:mergeCell ref="A118:B118"/>
    <x:mergeCell ref="C118:D118"/>
    <x:mergeCell ref="F105:I106"/>
    <x:mergeCell ref="F115:I116"/>
    <x:mergeCell ref="F117:I117"/>
    <x:mergeCell ref="F118:G118"/>
    <x:mergeCell ref="H118:I118"/>
    <x:mergeCell ref="K105:N106"/>
    <x:mergeCell ref="K115:N116"/>
    <x:mergeCell ref="K117:N117"/>
    <x:mergeCell ref="K118:L118"/>
    <x:mergeCell ref="M118:N118"/>
    <x:mergeCell ref="A119:D120"/>
    <x:mergeCell ref="A129:D130"/>
    <x:mergeCell ref="A131:D131"/>
    <x:mergeCell ref="A132:B132"/>
    <x:mergeCell ref="C132:D132"/>
    <x:mergeCell ref="F119:I120"/>
    <x:mergeCell ref="F129:I130"/>
    <x:mergeCell ref="F131:I131"/>
    <x:mergeCell ref="F132:G132"/>
    <x:mergeCell ref="H132:I132"/>
    <x:mergeCell ref="K119:N120"/>
    <x:mergeCell ref="K129:N130"/>
    <x:mergeCell ref="K131:N131"/>
    <x:mergeCell ref="K132:L132"/>
    <x:mergeCell ref="M132:N132"/>
    <x:mergeCell ref="A133:D134"/>
    <x:mergeCell ref="A143:D144"/>
    <x:mergeCell ref="A145:D145"/>
    <x:mergeCell ref="A146:B146"/>
    <x:mergeCell ref="C146:D146"/>
    <x:mergeCell ref="F133:I134"/>
    <x:mergeCell ref="F143:I144"/>
    <x:mergeCell ref="F145:I145"/>
    <x:mergeCell ref="F146:G146"/>
    <x:mergeCell ref="H146:I146"/>
    <x:mergeCell ref="K133:N134"/>
    <x:mergeCell ref="K143:N144"/>
    <x:mergeCell ref="K145:N145"/>
    <x:mergeCell ref="K146:L146"/>
    <x:mergeCell ref="M146:N146"/>
    <x:mergeCell ref="A147:D148"/>
    <x:mergeCell ref="A157:D158"/>
    <x:mergeCell ref="A159:D159"/>
    <x:mergeCell ref="A160:B160"/>
    <x:mergeCell ref="C160:D160"/>
    <x:mergeCell ref="F147:I148"/>
    <x:mergeCell ref="F157:I158"/>
    <x:mergeCell ref="F159:I159"/>
    <x:mergeCell ref="F160:G160"/>
    <x:mergeCell ref="H160:I160"/>
    <x:mergeCell ref="K147:N148"/>
    <x:mergeCell ref="K157:N158"/>
    <x:mergeCell ref="K159:N159"/>
    <x:mergeCell ref="K160:L160"/>
    <x:mergeCell ref="M160:N160"/>
    <x:mergeCell ref="A161:D162"/>
    <x:mergeCell ref="A171:D172"/>
    <x:mergeCell ref="A173:D173"/>
    <x:mergeCell ref="A174:B174"/>
    <x:mergeCell ref="C174:D174"/>
    <x:mergeCell ref="F161:I162"/>
    <x:mergeCell ref="F171:I172"/>
    <x:mergeCell ref="F173:I173"/>
    <x:mergeCell ref="F174:G174"/>
    <x:mergeCell ref="H174:I174"/>
    <x:mergeCell ref="K161:N162"/>
    <x:mergeCell ref="K171:N172"/>
    <x:mergeCell ref="K173:N173"/>
    <x:mergeCell ref="K174:L174"/>
    <x:mergeCell ref="M174:N174"/>
    <x:mergeCell ref="A175:D176"/>
    <x:mergeCell ref="A185:D186"/>
    <x:mergeCell ref="A187:D187"/>
    <x:mergeCell ref="A188:B188"/>
    <x:mergeCell ref="C188:D188"/>
    <x:mergeCell ref="F175:I176"/>
    <x:mergeCell ref="F185:I186"/>
    <x:mergeCell ref="F187:I187"/>
    <x:mergeCell ref="F188:G188"/>
    <x:mergeCell ref="H188:I188"/>
    <x:mergeCell ref="K175:N176"/>
    <x:mergeCell ref="K185:N186"/>
    <x:mergeCell ref="K187:N187"/>
    <x:mergeCell ref="K188:L188"/>
    <x:mergeCell ref="M188:N188"/>
    <x:mergeCell ref="A189:D190"/>
    <x:mergeCell ref="A199:D200"/>
    <x:mergeCell ref="A201:D201"/>
    <x:mergeCell ref="A202:B202"/>
    <x:mergeCell ref="C202:D202"/>
    <x:mergeCell ref="F189:I190"/>
    <x:mergeCell ref="F199:I200"/>
    <x:mergeCell ref="F201:I201"/>
    <x:mergeCell ref="F202:G202"/>
    <x:mergeCell ref="H202:I202"/>
    <x:mergeCell ref="K189:N190"/>
    <x:mergeCell ref="K199:N200"/>
    <x:mergeCell ref="K201:N201"/>
    <x:mergeCell ref="K202:L202"/>
    <x:mergeCell ref="M202:N202"/>
    <x:mergeCell ref="A203:D204"/>
    <x:mergeCell ref="A213:D214"/>
    <x:mergeCell ref="A215:D215"/>
    <x:mergeCell ref="A216:B216"/>
    <x:mergeCell ref="C216:D216"/>
    <x:mergeCell ref="F203:I204"/>
    <x:mergeCell ref="F213:I214"/>
    <x:mergeCell ref="F215:I215"/>
    <x:mergeCell ref="F216:G216"/>
    <x:mergeCell ref="H216:I216"/>
    <x:mergeCell ref="K203:N204"/>
    <x:mergeCell ref="K213:N214"/>
    <x:mergeCell ref="K215:N215"/>
    <x:mergeCell ref="K216:L216"/>
    <x:mergeCell ref="M216:N216"/>
    <x:mergeCell ref="A217:D218"/>
    <x:mergeCell ref="A227:D228"/>
    <x:mergeCell ref="A229:D229"/>
    <x:mergeCell ref="A230:B230"/>
    <x:mergeCell ref="C230:D230"/>
    <x:mergeCell ref="F217:I218"/>
    <x:mergeCell ref="F227:I228"/>
    <x:mergeCell ref="F229:I229"/>
    <x:mergeCell ref="F230:G230"/>
    <x:mergeCell ref="H230:I230"/>
    <x:mergeCell ref="K217:N218"/>
    <x:mergeCell ref="K227:N228"/>
    <x:mergeCell ref="K229:N229"/>
    <x:mergeCell ref="K230:L230"/>
    <x:mergeCell ref="M230:N230"/>
    <x:mergeCell ref="A231:D232"/>
    <x:mergeCell ref="A241:D242"/>
    <x:mergeCell ref="A243:D243"/>
    <x:mergeCell ref="A244:B244"/>
    <x:mergeCell ref="C244:D244"/>
    <x:mergeCell ref="F231:I232"/>
    <x:mergeCell ref="F241:I242"/>
    <x:mergeCell ref="F243:I243"/>
    <x:mergeCell ref="F244:G244"/>
    <x:mergeCell ref="H244:I244"/>
    <x:mergeCell ref="K231:N232"/>
    <x:mergeCell ref="K241:N242"/>
    <x:mergeCell ref="K243:N243"/>
    <x:mergeCell ref="K244:L244"/>
    <x:mergeCell ref="M244:N244"/>
    <x:mergeCell ref="A245:D246"/>
    <x:mergeCell ref="A255:D256"/>
    <x:mergeCell ref="A257:D257"/>
    <x:mergeCell ref="A258:B258"/>
    <x:mergeCell ref="C258:D258"/>
    <x:mergeCell ref="F245:I246"/>
    <x:mergeCell ref="F255:I256"/>
    <x:mergeCell ref="F257:I257"/>
    <x:mergeCell ref="F258:G258"/>
    <x:mergeCell ref="H258:I258"/>
    <x:mergeCell ref="K245:N246"/>
    <x:mergeCell ref="K255:N256"/>
    <x:mergeCell ref="K257:N257"/>
    <x:mergeCell ref="K258:L258"/>
    <x:mergeCell ref="M258:N258"/>
    <x:mergeCell ref="A259:D260"/>
    <x:mergeCell ref="A269:D270"/>
    <x:mergeCell ref="A271:D271"/>
    <x:mergeCell ref="A272:B272"/>
    <x:mergeCell ref="C272:D272"/>
    <x:mergeCell ref="F259:I260"/>
    <x:mergeCell ref="F269:I270"/>
    <x:mergeCell ref="F271:I271"/>
    <x:mergeCell ref="F272:G272"/>
    <x:mergeCell ref="H272:I272"/>
    <x:mergeCell ref="K259:N260"/>
    <x:mergeCell ref="K269:N270"/>
    <x:mergeCell ref="K271:N271"/>
    <x:mergeCell ref="K272:L272"/>
    <x:mergeCell ref="M272:N272"/>
    <x:mergeCell ref="A273:D274"/>
    <x:mergeCell ref="A283:D284"/>
    <x:mergeCell ref="A285:D285"/>
    <x:mergeCell ref="A286:B286"/>
    <x:mergeCell ref="C286:D286"/>
    <x:mergeCell ref="F273:I274"/>
    <x:mergeCell ref="F283:I284"/>
    <x:mergeCell ref="F285:I285"/>
    <x:mergeCell ref="F286:G286"/>
    <x:mergeCell ref="H286:I286"/>
    <x:mergeCell ref="K273:N274"/>
    <x:mergeCell ref="K283:N284"/>
    <x:mergeCell ref="K285:N285"/>
    <x:mergeCell ref="K286:L286"/>
    <x:mergeCell ref="M286:N286"/>
    <x:mergeCell ref="A287:D288"/>
    <x:mergeCell ref="A297:D298"/>
    <x:mergeCell ref="A299:D299"/>
    <x:mergeCell ref="A300:B300"/>
    <x:mergeCell ref="C300:D300"/>
    <x:mergeCell ref="F287:I288"/>
    <x:mergeCell ref="F297:I298"/>
    <x:mergeCell ref="F299:I299"/>
    <x:mergeCell ref="F300:G300"/>
    <x:mergeCell ref="H300:I300"/>
    <x:mergeCell ref="K287:N288"/>
    <x:mergeCell ref="K297:N298"/>
    <x:mergeCell ref="K299:N299"/>
    <x:mergeCell ref="K300:L300"/>
    <x:mergeCell ref="M300:N300"/>
    <x:mergeCell ref="A301:D302"/>
    <x:mergeCell ref="A311:D312"/>
    <x:mergeCell ref="A313:D313"/>
    <x:mergeCell ref="A314:B314"/>
    <x:mergeCell ref="C314:D314"/>
    <x:mergeCell ref="F301:I302"/>
    <x:mergeCell ref="F311:I312"/>
    <x:mergeCell ref="F313:I313"/>
    <x:mergeCell ref="F314:G314"/>
    <x:mergeCell ref="H314:I314"/>
    <x:mergeCell ref="K301:N302"/>
    <x:mergeCell ref="K311:N312"/>
    <x:mergeCell ref="K313:N313"/>
    <x:mergeCell ref="K314:L314"/>
    <x:mergeCell ref="M314:N314"/>
    <x:mergeCell ref="A315:D316"/>
    <x:mergeCell ref="A325:D326"/>
    <x:mergeCell ref="A327:D327"/>
    <x:mergeCell ref="A328:B328"/>
    <x:mergeCell ref="C328:D328"/>
    <x:mergeCell ref="F315:I316"/>
    <x:mergeCell ref="F325:I326"/>
    <x:mergeCell ref="F327:I327"/>
    <x:mergeCell ref="F328:G328"/>
    <x:mergeCell ref="H328:I328"/>
    <x:mergeCell ref="K315:N316"/>
    <x:mergeCell ref="K325:N326"/>
    <x:mergeCell ref="K327:N327"/>
    <x:mergeCell ref="K328:L328"/>
    <x:mergeCell ref="M328:N328"/>
    <x:mergeCell ref="A329:D330"/>
    <x:mergeCell ref="A339:D340"/>
    <x:mergeCell ref="A341:D341"/>
    <x:mergeCell ref="A342:B342"/>
    <x:mergeCell ref="C342:D342"/>
    <x:mergeCell ref="F329:I330"/>
    <x:mergeCell ref="F339:I340"/>
    <x:mergeCell ref="F341:I341"/>
    <x:mergeCell ref="F342:G342"/>
    <x:mergeCell ref="H342:I342"/>
    <x:mergeCell ref="K329:N330"/>
    <x:mergeCell ref="K339:N340"/>
    <x:mergeCell ref="K341:N341"/>
    <x:mergeCell ref="K342:L342"/>
    <x:mergeCell ref="M342:N342"/>
    <x:mergeCell ref="A343:D344"/>
    <x:mergeCell ref="A353:D354"/>
    <x:mergeCell ref="A355:D355"/>
    <x:mergeCell ref="A356:B356"/>
    <x:mergeCell ref="C356:D356"/>
  </x:mergeCells>
  <x:pageMargins left="0.7" right="0.7" top="0.75" bottom="0.75" header="0.3" footer="0.3"/>
  <x:drawing xmlns:r="http://schemas.openxmlformats.org/officeDocument/2006/relationships" r:id="R16b21ec86b024e3e"/>
</x:worksheet>
</file>

<file path=xl/worksheets/sheet5.xml><?xml version="1.0" encoding="utf-8"?>
<x:worksheet xmlns:x="http://schemas.openxmlformats.org/spreadsheetml/2006/main">
  <x:sheetPr>
    <x:tabColor rgb="FF24665C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8.329999923706055" hidden="0" customWidth="1"/>
    <x:col min="2" max="2" width="8.329999923706055" hidden="0" customWidth="1"/>
    <x:col min="3" max="3" width="8.329999923706055" hidden="0" customWidth="1"/>
    <x:col min="4" max="4" width="8.329999923706055" hidden="0" customWidth="1"/>
    <x:col min="5" max="5" width="8.329999923706055" hidden="0" customWidth="1"/>
    <x:col min="6" max="6" width="8.329999923706055" hidden="0" customWidth="1"/>
    <x:col min="7" max="7" width="8.329999923706055" hidden="0" customWidth="1"/>
    <x:col min="8" max="8" width="8.329999923706055" hidden="0" customWidth="1"/>
    <x:col min="9" max="9" width="8.329999923706055" hidden="0" customWidth="1"/>
    <x:col min="10" max="10" width="8.329999923706055" hidden="0" customWidth="1"/>
    <x:col min="11" max="11" width="8.329999923706055" hidden="0" customWidth="1"/>
    <x:col min="12" max="12" width="8.329999923706055" hidden="0" customWidth="1"/>
    <x:col min="13" max="13" width="8.329999923706055" hidden="0" customWidth="1"/>
    <x:col min="14" max="14" width="8.329999923706055" hidden="0" customWidth="1"/>
  </x:cols>
  <x:sheetData>
    <x:row r="1" ht="18.75" customHeight="1">
      <x:c r="A1" s="45" t="str">
        <x:v>КАРТА И УКАЗАТЕЛЬ</x:v>
      </x:c>
      <x:c r="B1" s="45" t="str">
        <x:v>КАРТА И УКАЗАТЕЛЬ</x:v>
      </x:c>
      <x:c r="C1" s="45" t="str">
        <x:v>КАРТА И УКАЗАТЕЛЬ</x:v>
      </x:c>
      <x:c r="D1" s="45" t="str">
        <x:v>КАРТА И УКАЗАТЕЛЬ</x:v>
      </x:c>
      <x:c r="E1" s="45" t="str">
        <x:v>КАРТА И УКАЗАТЕЛЬ</x:v>
      </x:c>
      <x:c r="F1" s="45" t="str">
        <x:v>КАРТА И УКАЗАТЕЛЬ</x:v>
      </x:c>
      <x:c r="G1" s="45" t="str">
        <x:v>КАРТА И УКАЗАТЕЛЬ</x:v>
      </x:c>
      <x:c r="H1" s="45" t="str">
        <x:v>КАРТА И УКАЗАТЕЛЬ</x:v>
      </x:c>
      <x:c r="I1" s="45" t="str">
        <x:v>КАРТА И УКАЗАТЕЛЬ</x:v>
      </x:c>
      <x:c r="J1" s="45" t="str">
        <x:v>КАРТА И УКАЗАТЕЛЬ</x:v>
      </x:c>
      <x:c r="K1" s="45" t="str">
        <x:v>КАРТА И УКАЗАТЕЛЬ</x:v>
      </x:c>
      <x:c r="L1" s="45" t="str">
        <x:v>КАРТА И УКАЗАТЕЛЬ</x:v>
      </x:c>
      <x:c r="M1" s="45" t="str">
        <x:v>КАРТА И УКАЗАТЕЛЬ</x:v>
      </x:c>
      <x:c r="N1" s="45" t="str">
        <x:v>КАРТА И УКАЗАТЕЛЬ</x:v>
      </x:c>
    </x:row>
    <x:row r="2" ht="18.75" customHeight="1">
      <x:c r="A2" s="45" t="str">
        <x:v>КАРТА И УКАЗАТЕЛЬ</x:v>
      </x:c>
      <x:c r="B2" s="45" t="str">
        <x:v>КАРТА И УКАЗАТЕЛЬ</x:v>
      </x:c>
      <x:c r="C2" s="45" t="str">
        <x:v>КАРТА И УКАЗАТЕЛЬ</x:v>
      </x:c>
      <x:c r="D2" s="45" t="str">
        <x:v>КАРТА И УКАЗАТЕЛЬ</x:v>
      </x:c>
      <x:c r="E2" s="45" t="str">
        <x:v>КАРТА И УКАЗАТЕЛЬ</x:v>
      </x:c>
      <x:c r="F2" s="45" t="str">
        <x:v>КАРТА И УКАЗАТЕЛЬ</x:v>
      </x:c>
      <x:c r="G2" s="45" t="str">
        <x:v>КАРТА И УКАЗАТЕЛЬ</x:v>
      </x:c>
      <x:c r="H2" s="45" t="str">
        <x:v>КАРТА И УКАЗАТЕЛЬ</x:v>
      </x:c>
      <x:c r="I2" s="45" t="str">
        <x:v>КАРТА И УКАЗАТЕЛЬ</x:v>
      </x:c>
      <x:c r="J2" s="45" t="str">
        <x:v>КАРТА И УКАЗАТЕЛЬ</x:v>
      </x:c>
      <x:c r="K2" s="45" t="str">
        <x:v>КАРТА И УКАЗАТЕЛЬ</x:v>
      </x:c>
      <x:c r="L2" s="45" t="str">
        <x:v>КАРТА И УКАЗАТЕЛЬ</x:v>
      </x:c>
      <x:c r="M2" s="45" t="str">
        <x:v>КАРТА И УКАЗАТЕЛЬ</x:v>
      </x:c>
      <x:c r="N2" s="45" t="str">
        <x:v>КАРТА И УКАЗАТЕЛЬ</x:v>
      </x:c>
    </x:row>
    <x:row r="3" ht="18.75" customHeight="1">
      <x:c r="A3" s="13" t="str">
        <x:v>Все 73 места. Номера постоянные и совпадают с ID в таблице; выбранные точки Нуса-Пениды показаны отдельно от основного острова.</x:v>
      </x:c>
      <x:c r="B3" s="13" t="str">
        <x:v>Все 73 места. Номера постоянные и совпадают с ID в таблице; выбранные точки Нуса-Пениды показаны отдельно от основного острова.</x:v>
      </x:c>
      <x:c r="C3" s="13" t="str">
        <x:v>Все 73 места. Номера постоянные и совпадают с ID в таблице; выбранные точки Нуса-Пениды показаны отдельно от основного острова.</x:v>
      </x:c>
      <x:c r="D3" s="13" t="str">
        <x:v>Все 73 места. Номера постоянные и совпадают с ID в таблице; выбранные точки Нуса-Пениды показаны отдельно от основного острова.</x:v>
      </x:c>
      <x:c r="E3" s="13" t="str">
        <x:v>Все 73 места. Номера постоянные и совпадают с ID в таблице; выбранные точки Нуса-Пениды показаны отдельно от основного острова.</x:v>
      </x:c>
      <x:c r="F3" s="13" t="str">
        <x:v>Все 73 места. Номера постоянные и совпадают с ID в таблице; выбранные точки Нуса-Пениды показаны отдельно от основного острова.</x:v>
      </x:c>
      <x:c r="G3" s="13" t="str">
        <x:v>Все 73 места. Номера постоянные и совпадают с ID в таблице; выбранные точки Нуса-Пениды показаны отдельно от основного острова.</x:v>
      </x:c>
      <x:c r="H3" s="13" t="str">
        <x:v>Все 73 места. Номера постоянные и совпадают с ID в таблице; выбранные точки Нуса-Пениды показаны отдельно от основного острова.</x:v>
      </x:c>
      <x:c r="I3" s="13" t="str">
        <x:v>Все 73 места. Номера постоянные и совпадают с ID в таблице; выбранные точки Нуса-Пениды показаны отдельно от основного острова.</x:v>
      </x:c>
      <x:c r="J3" s="13" t="str">
        <x:v>Все 73 места. Номера постоянные и совпадают с ID в таблице; выбранные точки Нуса-Пениды показаны отдельно от основного острова.</x:v>
      </x:c>
      <x:c r="K3" s="13" t="str">
        <x:v>Все 73 места. Номера постоянные и совпадают с ID в таблице; выбранные точки Нуса-Пениды показаны отдельно от основного острова.</x:v>
      </x:c>
      <x:c r="L3" s="13" t="str">
        <x:v>Все 73 места. Номера постоянные и совпадают с ID в таблице; выбранные точки Нуса-Пениды показаны отдельно от основного острова.</x:v>
      </x:c>
      <x:c r="M3" s="13" t="str">
        <x:v>Все 73 места. Номера постоянные и совпадают с ID в таблице; выбранные точки Нуса-Пениды показаны отдельно от основного острова.</x:v>
      </x:c>
      <x:c r="N3" s="13" t="str">
        <x:v>Все 73 места. Номера постоянные и совпадают с ID в таблице; выбранные точки Нуса-Пениды показаны отдельно от основного острова.</x:v>
      </x:c>
    </x:row>
    <x:row r="4" ht="18.75" customHeight="1">
      <x:c r="A4" s="13" t="str">
        <x:v>Все 73 места. Номера постоянные и совпадают с ID в таблице; выбранные точки Нуса-Пениды показаны отдельно от основного острова.</x:v>
      </x:c>
      <x:c r="B4" s="13" t="str">
        <x:v>Все 73 места. Номера постоянные и совпадают с ID в таблице; выбранные точки Нуса-Пениды показаны отдельно от основного острова.</x:v>
      </x:c>
      <x:c r="C4" s="13" t="str">
        <x:v>Все 73 места. Номера постоянные и совпадают с ID в таблице; выбранные точки Нуса-Пениды показаны отдельно от основного острова.</x:v>
      </x:c>
      <x:c r="D4" s="13" t="str">
        <x:v>Все 73 места. Номера постоянные и совпадают с ID в таблице; выбранные точки Нуса-Пениды показаны отдельно от основного острова.</x:v>
      </x:c>
      <x:c r="E4" s="13" t="str">
        <x:v>Все 73 места. Номера постоянные и совпадают с ID в таблице; выбранные точки Нуса-Пениды показаны отдельно от основного острова.</x:v>
      </x:c>
      <x:c r="F4" s="13" t="str">
        <x:v>Все 73 места. Номера постоянные и совпадают с ID в таблице; выбранные точки Нуса-Пениды показаны отдельно от основного острова.</x:v>
      </x:c>
      <x:c r="G4" s="13" t="str">
        <x:v>Все 73 места. Номера постоянные и совпадают с ID в таблице; выбранные точки Нуса-Пениды показаны отдельно от основного острова.</x:v>
      </x:c>
      <x:c r="H4" s="13" t="str">
        <x:v>Все 73 места. Номера постоянные и совпадают с ID в таблице; выбранные точки Нуса-Пениды показаны отдельно от основного острова.</x:v>
      </x:c>
      <x:c r="I4" s="13" t="str">
        <x:v>Все 73 места. Номера постоянные и совпадают с ID в таблице; выбранные точки Нуса-Пениды показаны отдельно от основного острова.</x:v>
      </x:c>
      <x:c r="J4" s="13" t="str">
        <x:v>Все 73 места. Номера постоянные и совпадают с ID в таблице; выбранные точки Нуса-Пениды показаны отдельно от основного острова.</x:v>
      </x:c>
      <x:c r="K4" s="13" t="str">
        <x:v>Все 73 места. Номера постоянные и совпадают с ID в таблице; выбранные точки Нуса-Пениды показаны отдельно от основного острова.</x:v>
      </x:c>
      <x:c r="L4" s="13" t="str">
        <x:v>Все 73 места. Номера постоянные и совпадают с ID в таблице; выбранные точки Нуса-Пениды показаны отдельно от основного острова.</x:v>
      </x:c>
      <x:c r="M4" s="13" t="str">
        <x:v>Все 73 места. Номера постоянные и совпадают с ID в таблице; выбранные точки Нуса-Пениды показаны отдельно от основного острова.</x:v>
      </x:c>
      <x:c r="N4" s="13" t="str">
        <x:v>Все 73 места. Номера постоянные и совпадают с ID в таблице; выбранные точки Нуса-Пениды показаны отдельно от основного острова.</x:v>
      </x:c>
    </x:row>
    <x:row r="5" ht="18.75" customHeight="1">
      <x:c r="A5" s="4"/>
      <x:c r="B5" s="4"/>
      <x:c r="C5" s="4"/>
      <x:c r="D5" s="4"/>
      <x:c r="E5" s="4"/>
      <x:c r="F5" s="4"/>
      <x:c r="G5" s="4"/>
      <x:c r="H5" s="4"/>
      <x:c r="I5" s="4"/>
      <x:c r="J5" s="4"/>
      <x:c r="K5" s="4"/>
      <x:c r="L5" s="4"/>
      <x:c r="M5" s="4"/>
      <x:c r="N5" s="4"/>
    </x:row>
    <x:row r="6" ht="18.75" customHeight="1">
      <x:c r="A6" s="4"/>
      <x:c r="B6" s="4"/>
      <x:c r="C6" s="4"/>
      <x:c r="D6" s="4"/>
      <x:c r="E6" s="4"/>
      <x:c r="F6" s="4"/>
      <x:c r="G6" s="4"/>
      <x:c r="H6" s="4"/>
      <x:c r="I6" s="4"/>
      <x:c r="J6" s="4"/>
      <x:c r="K6" s="4"/>
      <x:c r="L6" s="4"/>
      <x:c r="M6" s="4"/>
      <x:c r="N6" s="4"/>
    </x:row>
    <x:row r="7" ht="18.75" customHeight="1">
      <x:c r="A7" s="4"/>
      <x:c r="B7" s="4"/>
      <x:c r="C7" s="4"/>
      <x:c r="D7" s="4"/>
      <x:c r="E7" s="4"/>
      <x:c r="F7" s="4"/>
      <x:c r="G7" s="4"/>
      <x:c r="H7" s="4"/>
      <x:c r="I7" s="4"/>
      <x:c r="J7" s="4"/>
      <x:c r="K7" s="4"/>
      <x:c r="L7" s="4"/>
      <x:c r="M7" s="4"/>
      <x:c r="N7" s="4"/>
    </x:row>
    <x:row r="8" ht="18.75" customHeight="1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  <x:c r="M8" s="4"/>
      <x:c r="N8" s="4"/>
    </x:row>
    <x:row r="9" ht="18.75" customHeight="1">
      <x:c r="A9" s="4"/>
      <x:c r="B9" s="4"/>
      <x:c r="C9" s="4"/>
      <x:c r="D9" s="4"/>
      <x:c r="E9" s="4"/>
      <x:c r="F9" s="4"/>
      <x:c r="G9" s="4"/>
      <x:c r="H9" s="4"/>
      <x:c r="I9" s="4"/>
      <x:c r="J9" s="4"/>
      <x:c r="K9" s="4"/>
      <x:c r="L9" s="4"/>
      <x:c r="M9" s="4"/>
      <x:c r="N9" s="4"/>
    </x:row>
    <x:row r="10" ht="18.75" customHeight="1">
      <x:c r="A10" s="4"/>
      <x:c r="B10" s="4"/>
      <x:c r="C10" s="4"/>
      <x:c r="D10" s="4"/>
      <x:c r="E10" s="4"/>
      <x:c r="F10" s="4"/>
      <x:c r="G10" s="4"/>
      <x:c r="H10" s="4"/>
      <x:c r="I10" s="4"/>
      <x:c r="J10" s="4"/>
      <x:c r="K10" s="4"/>
      <x:c r="L10" s="4"/>
      <x:c r="M10" s="4"/>
      <x:c r="N10" s="4"/>
    </x:row>
    <x:row r="11" ht="18.75" customHeight="1">
      <x:c r="A11" s="4"/>
      <x:c r="B11" s="4"/>
      <x:c r="C11" s="4"/>
      <x:c r="D11" s="4"/>
      <x:c r="E11" s="4"/>
      <x:c r="F11" s="4"/>
      <x:c r="G11" s="4"/>
      <x:c r="H11" s="4"/>
      <x:c r="I11" s="4"/>
      <x:c r="J11" s="4"/>
      <x:c r="K11" s="4"/>
      <x:c r="L11" s="4"/>
      <x:c r="M11" s="4"/>
      <x:c r="N11" s="4"/>
    </x:row>
    <x:row r="12" ht="18.75" customHeight="1">
      <x:c r="A12" s="4"/>
      <x:c r="B12" s="4"/>
      <x:c r="C12" s="4"/>
      <x:c r="D12" s="4"/>
      <x:c r="E12" s="4"/>
      <x:c r="F12" s="4"/>
      <x:c r="G12" s="4"/>
      <x:c r="H12" s="4"/>
      <x:c r="I12" s="4"/>
      <x:c r="J12" s="4"/>
      <x:c r="K12" s="4"/>
      <x:c r="L12" s="4"/>
      <x:c r="M12" s="4"/>
      <x:c r="N12" s="4"/>
    </x:row>
    <x:row r="13" ht="18.75" customHeight="1">
      <x:c r="A13" s="4"/>
      <x:c r="B13" s="4"/>
      <x:c r="C13" s="4"/>
      <x:c r="D13" s="4"/>
      <x:c r="E13" s="4"/>
      <x:c r="F13" s="4"/>
      <x:c r="G13" s="4"/>
      <x:c r="H13" s="4"/>
      <x:c r="I13" s="4"/>
      <x:c r="J13" s="4"/>
      <x:c r="K13" s="4"/>
      <x:c r="L13" s="4"/>
      <x:c r="M13" s="4"/>
      <x:c r="N13" s="4"/>
    </x:row>
    <x:row r="14" ht="18.75" customHeight="1">
      <x:c r="A14" s="4"/>
      <x:c r="B14" s="4"/>
      <x:c r="C14" s="4"/>
      <x:c r="D14" s="4"/>
      <x:c r="E14" s="4"/>
      <x:c r="F14" s="4"/>
      <x:c r="G14" s="4"/>
      <x:c r="H14" s="4"/>
      <x:c r="I14" s="4"/>
      <x:c r="J14" s="4"/>
      <x:c r="K14" s="4"/>
      <x:c r="L14" s="4"/>
      <x:c r="M14" s="4"/>
      <x:c r="N14" s="4"/>
    </x:row>
    <x:row r="15" ht="18.75" customHeight="1">
      <x:c r="A15" s="4"/>
      <x:c r="B15" s="4"/>
      <x:c r="C15" s="4"/>
      <x:c r="D15" s="4"/>
      <x:c r="E15" s="4"/>
      <x:c r="F15" s="4"/>
      <x:c r="G15" s="4"/>
      <x:c r="H15" s="4"/>
      <x:c r="I15" s="4"/>
      <x:c r="J15" s="4"/>
      <x:c r="K15" s="4"/>
      <x:c r="L15" s="4"/>
      <x:c r="M15" s="4"/>
      <x:c r="N15" s="4"/>
    </x:row>
    <x:row r="16" ht="18.75" customHeight="1">
      <x:c r="A16" s="4"/>
      <x:c r="B16" s="4"/>
      <x:c r="C16" s="4"/>
      <x:c r="D16" s="4"/>
      <x:c r="E16" s="4"/>
      <x:c r="F16" s="4"/>
      <x:c r="G16" s="4"/>
      <x:c r="H16" s="4"/>
      <x:c r="I16" s="4"/>
      <x:c r="J16" s="4"/>
      <x:c r="K16" s="4"/>
      <x:c r="L16" s="4"/>
      <x:c r="M16" s="4"/>
      <x:c r="N16" s="4"/>
    </x:row>
    <x:row r="17" ht="18.75" customHeight="1">
      <x:c r="A17" s="4"/>
      <x:c r="B17" s="4"/>
      <x:c r="C17" s="4"/>
      <x:c r="D17" s="4"/>
      <x:c r="E17" s="4"/>
      <x:c r="F17" s="4"/>
      <x:c r="G17" s="4"/>
      <x:c r="H17" s="4"/>
      <x:c r="I17" s="4"/>
      <x:c r="J17" s="4"/>
      <x:c r="K17" s="4"/>
      <x:c r="L17" s="4"/>
      <x:c r="M17" s="4"/>
      <x:c r="N17" s="4"/>
    </x:row>
    <x:row r="18" ht="18.75" customHeight="1">
      <x:c r="A18" s="4"/>
      <x:c r="B18" s="4"/>
      <x:c r="C18" s="4"/>
      <x:c r="D18" s="4"/>
      <x:c r="E18" s="4"/>
      <x:c r="F18" s="4"/>
      <x:c r="G18" s="4"/>
      <x:c r="H18" s="4"/>
      <x:c r="I18" s="4"/>
      <x:c r="J18" s="4"/>
      <x:c r="K18" s="4"/>
      <x:c r="L18" s="4"/>
      <x:c r="M18" s="4"/>
      <x:c r="N18" s="4"/>
    </x:row>
    <x:row r="19" ht="18.75" customHeight="1">
      <x:c r="A19" s="4"/>
      <x:c r="B19" s="4"/>
      <x:c r="C19" s="4"/>
      <x:c r="D19" s="4"/>
      <x:c r="E19" s="4"/>
      <x:c r="F19" s="4"/>
      <x:c r="G19" s="4"/>
      <x:c r="H19" s="4"/>
      <x:c r="I19" s="4"/>
      <x:c r="J19" s="4"/>
      <x:c r="K19" s="4"/>
      <x:c r="L19" s="4"/>
      <x:c r="M19" s="4"/>
      <x:c r="N19" s="4"/>
    </x:row>
    <x:row r="20" ht="18.75" customHeight="1">
      <x:c r="A20" s="4"/>
      <x:c r="B20" s="4"/>
      <x:c r="C20" s="4"/>
      <x:c r="D20" s="4"/>
      <x:c r="E20" s="4"/>
      <x:c r="F20" s="4"/>
      <x:c r="G20" s="4"/>
      <x:c r="H20" s="4"/>
      <x:c r="I20" s="4"/>
      <x:c r="J20" s="4"/>
      <x:c r="K20" s="4"/>
      <x:c r="L20" s="4"/>
      <x:c r="M20" s="4"/>
      <x:c r="N20" s="4"/>
    </x:row>
    <x:row r="21" ht="18.75" customHeight="1">
      <x:c r="A21" s="4"/>
      <x:c r="B21" s="4"/>
      <x:c r="C21" s="4"/>
      <x:c r="D21" s="4"/>
      <x:c r="E21" s="4"/>
      <x:c r="F21" s="4"/>
      <x:c r="G21" s="4"/>
      <x:c r="H21" s="4"/>
      <x:c r="I21" s="4"/>
      <x:c r="J21" s="4"/>
      <x:c r="K21" s="4"/>
      <x:c r="L21" s="4"/>
      <x:c r="M21" s="4"/>
      <x:c r="N21" s="4"/>
    </x:row>
    <x:row r="22" ht="18.75" customHeight="1">
      <x:c r="A22" s="4"/>
      <x:c r="B22" s="4"/>
      <x:c r="C22" s="4"/>
      <x:c r="D22" s="4"/>
      <x:c r="E22" s="4"/>
      <x:c r="F22" s="4"/>
      <x:c r="G22" s="4"/>
      <x:c r="H22" s="4"/>
      <x:c r="I22" s="4"/>
      <x:c r="J22" s="4"/>
      <x:c r="K22" s="4"/>
      <x:c r="L22" s="4"/>
      <x:c r="M22" s="4"/>
      <x:c r="N22" s="4"/>
    </x:row>
    <x:row r="23" ht="18.75" customHeight="1">
      <x:c r="A23" s="4"/>
      <x:c r="B23" s="4"/>
      <x:c r="C23" s="4"/>
      <x:c r="D23" s="4"/>
      <x:c r="E23" s="4"/>
      <x:c r="F23" s="4"/>
      <x:c r="G23" s="4"/>
      <x:c r="H23" s="4"/>
      <x:c r="I23" s="4"/>
      <x:c r="J23" s="4"/>
      <x:c r="K23" s="4"/>
      <x:c r="L23" s="4"/>
      <x:c r="M23" s="4"/>
      <x:c r="N23" s="4"/>
    </x:row>
    <x:row r="24" ht="18.75" customHeight="1">
      <x:c r="A24" s="4"/>
      <x:c r="B24" s="4"/>
      <x:c r="C24" s="4"/>
      <x:c r="D24" s="4"/>
      <x:c r="E24" s="4"/>
      <x:c r="F24" s="4"/>
      <x:c r="G24" s="4"/>
      <x:c r="H24" s="4"/>
      <x:c r="I24" s="4"/>
      <x:c r="J24" s="4"/>
      <x:c r="K24" s="4"/>
      <x:c r="L24" s="4"/>
      <x:c r="M24" s="4"/>
      <x:c r="N24" s="4"/>
    </x:row>
    <x:row r="25" ht="18.75" customHeight="1">
      <x:c r="A25" s="4"/>
      <x:c r="B25" s="4"/>
      <x:c r="C25" s="4"/>
      <x:c r="D25" s="4"/>
      <x:c r="E25" s="4"/>
      <x:c r="F25" s="4"/>
      <x:c r="G25" s="4"/>
      <x:c r="H25" s="4"/>
      <x:c r="I25" s="4"/>
      <x:c r="J25" s="4"/>
      <x:c r="K25" s="4"/>
      <x:c r="L25" s="4"/>
      <x:c r="M25" s="4"/>
      <x:c r="N25" s="4"/>
    </x:row>
    <x:row r="26" ht="18.75" customHeight="1">
      <x:c r="A26" s="4"/>
      <x:c r="B26" s="4"/>
      <x:c r="C26" s="4"/>
      <x:c r="D26" s="4"/>
      <x:c r="E26" s="4"/>
      <x:c r="F26" s="4"/>
      <x:c r="G26" s="4"/>
      <x:c r="H26" s="4"/>
      <x:c r="I26" s="4"/>
      <x:c r="J26" s="4"/>
      <x:c r="K26" s="4"/>
      <x:c r="L26" s="4"/>
      <x:c r="M26" s="4"/>
      <x:c r="N26" s="4"/>
    </x:row>
    <x:row r="27" ht="18.75" customHeight="1">
      <x:c r="A27" s="4"/>
      <x:c r="B27" s="4"/>
      <x:c r="C27" s="4"/>
      <x:c r="D27" s="4"/>
      <x:c r="E27" s="4"/>
      <x:c r="F27" s="4"/>
      <x:c r="G27" s="4"/>
      <x:c r="H27" s="4"/>
      <x:c r="I27" s="4"/>
      <x:c r="J27" s="4"/>
      <x:c r="K27" s="4"/>
      <x:c r="L27" s="4"/>
      <x:c r="M27" s="4"/>
      <x:c r="N27" s="4"/>
    </x:row>
    <x:row r="28" ht="18.75" customHeight="1">
      <x:c r="A28" s="4"/>
      <x:c r="B28" s="4"/>
      <x:c r="C28" s="4"/>
      <x:c r="D28" s="4"/>
      <x:c r="E28" s="4"/>
      <x:c r="F28" s="4"/>
      <x:c r="G28" s="4"/>
      <x:c r="H28" s="4"/>
      <x:c r="I28" s="4"/>
      <x:c r="J28" s="4"/>
      <x:c r="K28" s="4"/>
      <x:c r="L28" s="4"/>
      <x:c r="M28" s="4"/>
      <x:c r="N28" s="4"/>
    </x:row>
    <x:row r="29" ht="18.75" customHeight="1">
      <x:c r="A29" s="4"/>
      <x:c r="B29" s="4"/>
      <x:c r="C29" s="4"/>
      <x:c r="D29" s="4"/>
      <x:c r="E29" s="4"/>
      <x:c r="F29" s="4"/>
      <x:c r="G29" s="4"/>
      <x:c r="H29" s="4"/>
      <x:c r="I29" s="4"/>
      <x:c r="J29" s="4"/>
      <x:c r="K29" s="4"/>
      <x:c r="L29" s="4"/>
      <x:c r="M29" s="4"/>
      <x:c r="N29" s="4"/>
    </x:row>
    <x:row r="30" ht="18.75" customHeight="1">
      <x:c r="A30" s="4"/>
      <x:c r="B30" s="4"/>
      <x:c r="C30" s="4"/>
      <x:c r="D30" s="4"/>
      <x:c r="E30" s="4"/>
      <x:c r="F30" s="4"/>
      <x:c r="G30" s="4"/>
      <x:c r="H30" s="4"/>
      <x:c r="I30" s="4"/>
      <x:c r="J30" s="4"/>
      <x:c r="K30" s="4"/>
      <x:c r="L30" s="4"/>
      <x:c r="M30" s="4"/>
      <x:c r="N30" s="4"/>
    </x:row>
    <x:row r="31" ht="18.75" customHeight="1">
      <x:c r="A31" s="4"/>
      <x:c r="B31" s="4"/>
      <x:c r="C31" s="4"/>
      <x:c r="D31" s="4"/>
      <x:c r="E31" s="4"/>
      <x:c r="F31" s="4"/>
      <x:c r="G31" s="4"/>
      <x:c r="H31" s="4"/>
      <x:c r="I31" s="4"/>
      <x:c r="J31" s="4"/>
      <x:c r="K31" s="4"/>
      <x:c r="L31" s="4"/>
      <x:c r="M31" s="4"/>
      <x:c r="N31" s="4"/>
    </x:row>
    <x:row r="32" ht="18.75" customHeight="1">
      <x:c r="A32" s="4"/>
      <x:c r="B32" s="4"/>
      <x:c r="C32" s="4"/>
      <x:c r="D32" s="4"/>
      <x:c r="E32" s="4"/>
      <x:c r="F32" s="4"/>
      <x:c r="G32" s="4"/>
      <x:c r="H32" s="4"/>
      <x:c r="I32" s="4"/>
      <x:c r="J32" s="4"/>
      <x:c r="K32" s="4"/>
      <x:c r="L32" s="4"/>
      <x:c r="M32" s="4"/>
      <x:c r="N32" s="4"/>
    </x:row>
    <x:row r="33" ht="18.75" customHeight="1">
      <x:c r="A33" s="4"/>
      <x:c r="B33" s="4"/>
      <x:c r="C33" s="4"/>
      <x:c r="D33" s="4"/>
      <x:c r="E33" s="4"/>
      <x:c r="F33" s="4"/>
      <x:c r="G33" s="4"/>
      <x:c r="H33" s="4"/>
      <x:c r="I33" s="4"/>
      <x:c r="J33" s="4"/>
      <x:c r="K33" s="4"/>
      <x:c r="L33" s="4"/>
      <x:c r="M33" s="4"/>
      <x:c r="N33" s="4"/>
    </x:row>
    <x:row r="34" ht="18.75" customHeight="1">
      <x:c r="A34" s="4"/>
      <x:c r="B34" s="4"/>
      <x:c r="C34" s="4"/>
      <x:c r="D34" s="4"/>
      <x:c r="E34" s="4"/>
      <x:c r="F34" s="4"/>
      <x:c r="G34" s="4"/>
      <x:c r="H34" s="4"/>
      <x:c r="I34" s="4"/>
      <x:c r="J34" s="4"/>
      <x:c r="K34" s="4"/>
      <x:c r="L34" s="4"/>
      <x:c r="M34" s="4"/>
      <x:c r="N34" s="4"/>
    </x:row>
    <x:row r="35" ht="18.75" customHeight="1">
      <x:c r="A35" s="4"/>
      <x:c r="B35" s="4"/>
      <x:c r="C35" s="4"/>
      <x:c r="D35" s="4"/>
      <x:c r="E35" s="4"/>
      <x:c r="F35" s="4"/>
      <x:c r="G35" s="4"/>
      <x:c r="H35" s="4"/>
      <x:c r="I35" s="4"/>
      <x:c r="J35" s="4"/>
      <x:c r="K35" s="4"/>
      <x:c r="L35" s="4"/>
      <x:c r="M35" s="4"/>
      <x:c r="N35" s="4"/>
    </x:row>
    <x:row r="36" ht="18.75" customHeight="1">
      <x:c r="A36" s="4"/>
      <x:c r="B36" s="4"/>
      <x:c r="C36" s="4"/>
      <x:c r="D36" s="4"/>
      <x:c r="E36" s="4"/>
      <x:c r="F36" s="4"/>
      <x:c r="G36" s="4"/>
      <x:c r="H36" s="4"/>
      <x:c r="I36" s="4"/>
      <x:c r="J36" s="4"/>
      <x:c r="K36" s="4"/>
      <x:c r="L36" s="4"/>
      <x:c r="M36" s="4"/>
      <x:c r="N36" s="4"/>
    </x:row>
    <x:row r="37" ht="18.75" customHeight="1">
      <x:c r="A37" s="4"/>
      <x:c r="B37" s="4"/>
      <x:c r="C37" s="4"/>
      <x:c r="D37" s="4"/>
      <x:c r="E37" s="4"/>
      <x:c r="F37" s="4"/>
      <x:c r="G37" s="4"/>
      <x:c r="H37" s="4"/>
      <x:c r="I37" s="4"/>
      <x:c r="J37" s="4"/>
      <x:c r="K37" s="4"/>
      <x:c r="L37" s="4"/>
      <x:c r="M37" s="4"/>
      <x:c r="N37" s="4"/>
    </x:row>
    <x:row r="38" ht="18.75" customHeight="1">
      <x:c r="A38" s="4"/>
      <x:c r="B38" s="4"/>
      <x:c r="C38" s="4"/>
      <x:c r="D38" s="4"/>
      <x:c r="E38" s="4"/>
      <x:c r="F38" s="4"/>
      <x:c r="G38" s="4"/>
      <x:c r="H38" s="4"/>
      <x:c r="I38" s="4"/>
      <x:c r="J38" s="4"/>
      <x:c r="K38" s="4"/>
      <x:c r="L38" s="4"/>
      <x:c r="M38" s="4"/>
      <x:c r="N38" s="4"/>
    </x:row>
    <x:row r="39" ht="18.75" customHeight="1">
      <x:c r="A39" s="4"/>
      <x:c r="B39" s="4"/>
      <x:c r="C39" s="4"/>
      <x:c r="D39" s="4"/>
      <x:c r="E39" s="4"/>
      <x:c r="F39" s="4"/>
      <x:c r="G39" s="4"/>
      <x:c r="H39" s="4"/>
      <x:c r="I39" s="4"/>
      <x:c r="J39" s="4"/>
      <x:c r="K39" s="4"/>
      <x:c r="L39" s="4"/>
      <x:c r="M39" s="4"/>
      <x:c r="N39" s="4"/>
    </x:row>
    <x:row r="40" ht="18.75" customHeight="1">
      <x:c r="A40" s="4"/>
      <x:c r="B40" s="4"/>
      <x:c r="C40" s="4"/>
      <x:c r="D40" s="4"/>
      <x:c r="E40" s="4"/>
      <x:c r="F40" s="4"/>
      <x:c r="G40" s="4"/>
      <x:c r="H40" s="4"/>
      <x:c r="I40" s="4"/>
      <x:c r="J40" s="4"/>
      <x:c r="K40" s="4"/>
      <x:c r="L40" s="4"/>
      <x:c r="M40" s="4"/>
      <x:c r="N40" s="4"/>
    </x:row>
    <x:row r="41" ht="18.75" customHeight="1">
      <x:c r="A41" s="4"/>
      <x:c r="B41" s="4"/>
      <x:c r="C41" s="4"/>
      <x:c r="D41" s="4"/>
      <x:c r="E41" s="4"/>
      <x:c r="F41" s="4"/>
      <x:c r="G41" s="4"/>
      <x:c r="H41" s="4"/>
      <x:c r="I41" s="4"/>
      <x:c r="J41" s="4"/>
      <x:c r="K41" s="4"/>
      <x:c r="L41" s="4"/>
      <x:c r="M41" s="4"/>
      <x:c r="N41" s="4"/>
    </x:row>
    <x:row r="42" ht="18.75" customHeight="1">
      <x:c r="A42" s="4"/>
      <x:c r="B42" s="4"/>
      <x:c r="C42" s="4"/>
      <x:c r="D42" s="4"/>
      <x:c r="E42" s="4"/>
      <x:c r="F42" s="4"/>
      <x:c r="G42" s="4"/>
      <x:c r="H42" s="4"/>
      <x:c r="I42" s="4"/>
      <x:c r="J42" s="4"/>
      <x:c r="K42" s="4"/>
      <x:c r="L42" s="4"/>
      <x:c r="M42" s="4"/>
      <x:c r="N42" s="4"/>
    </x:row>
    <x:row r="43" ht="18.75" customHeight="1">
      <x:c r="A43" s="4"/>
      <x:c r="B43" s="4"/>
      <x:c r="C43" s="4"/>
      <x:c r="D43" s="4"/>
      <x:c r="E43" s="4"/>
      <x:c r="F43" s="4"/>
      <x:c r="G43" s="4"/>
      <x:c r="H43" s="4"/>
      <x:c r="I43" s="4"/>
      <x:c r="J43" s="4"/>
      <x:c r="K43" s="4"/>
      <x:c r="L43" s="4"/>
      <x:c r="M43" s="4"/>
      <x:c r="N43" s="4"/>
    </x:row>
    <x:row r="44" ht="18.75" customHeight="1">
      <x:c r="A44" s="4"/>
      <x:c r="B44" s="4"/>
      <x:c r="C44" s="4"/>
      <x:c r="D44" s="4"/>
      <x:c r="E44" s="4"/>
      <x:c r="F44" s="4"/>
      <x:c r="G44" s="4"/>
      <x:c r="H44" s="4"/>
      <x:c r="I44" s="4"/>
      <x:c r="J44" s="4"/>
      <x:c r="K44" s="4"/>
      <x:c r="L44" s="4"/>
      <x:c r="M44" s="4"/>
      <x:c r="N44" s="4"/>
    </x:row>
    <x:row r="45" ht="18.75" customHeight="1">
      <x:c r="A45" s="10" t="str">
        <x:v>УКАЗАТЕЛЬ • нажми на название, чтобы вернуться в таблицу</x:v>
      </x:c>
      <x:c r="B45" s="10" t="str">
        <x:v>УКАЗАТЕЛЬ • нажми на название, чтобы вернуться в таблицу</x:v>
      </x:c>
      <x:c r="C45" s="10" t="str">
        <x:v>УКАЗАТЕЛЬ • нажми на название, чтобы вернуться в таблицу</x:v>
      </x:c>
      <x:c r="D45" s="10" t="str">
        <x:v>УКАЗАТЕЛЬ • нажми на название, чтобы вернуться в таблицу</x:v>
      </x:c>
      <x:c r="E45" s="10" t="str">
        <x:v>УКАЗАТЕЛЬ • нажми на название, чтобы вернуться в таблицу</x:v>
      </x:c>
      <x:c r="F45" s="10" t="str">
        <x:v>УКАЗАТЕЛЬ • нажми на название, чтобы вернуться в таблицу</x:v>
      </x:c>
      <x:c r="G45" s="10" t="str">
        <x:v>УКАЗАТЕЛЬ • нажми на название, чтобы вернуться в таблицу</x:v>
      </x:c>
      <x:c r="H45" s="10" t="str">
        <x:v>УКАЗАТЕЛЬ • нажми на название, чтобы вернуться в таблицу</x:v>
      </x:c>
      <x:c r="I45" s="10" t="str">
        <x:v>УКАЗАТЕЛЬ • нажми на название, чтобы вернуться в таблицу</x:v>
      </x:c>
      <x:c r="J45" s="10" t="str">
        <x:v>УКАЗАТЕЛЬ • нажми на название, чтобы вернуться в таблицу</x:v>
      </x:c>
      <x:c r="K45" s="10" t="str">
        <x:v>УКАЗАТЕЛЬ • нажми на название, чтобы вернуться в таблицу</x:v>
      </x:c>
      <x:c r="L45" s="10" t="str">
        <x:v>УКАЗАТЕЛЬ • нажми на название, чтобы вернуться в таблицу</x:v>
      </x:c>
      <x:c r="M45" s="10" t="str">
        <x:v>УКАЗАТЕЛЬ • нажми на название, чтобы вернуться в таблицу</x:v>
      </x:c>
      <x:c r="N45" s="10" t="str">
        <x:v>УКАЗАТЕЛЬ • нажми на название, чтобы вернуться в таблицу</x:v>
      </x:c>
    </x:row>
    <x:row r="46" ht="18.75" customHeight="1">
      <x:c r="A46" s="4"/>
      <x:c r="B46" s="4"/>
      <x:c r="C46" s="4"/>
      <x:c r="D46" s="4"/>
      <x:c r="E46" s="4"/>
      <x:c r="F46" s="4"/>
      <x:c r="G46" s="4"/>
      <x:c r="H46" s="4"/>
      <x:c r="I46" s="4"/>
      <x:c r="J46" s="4"/>
      <x:c r="K46" s="4"/>
      <x:c r="L46" s="4"/>
      <x:c r="M46" s="4"/>
      <x:c r="N46" s="4"/>
    </x:row>
    <x:row r="47" ht="30" customHeight="1">
      <x:c r="A47" s="53" t="str">
        <x:v>01</x:v>
      </x:c>
      <x:c r="B47" s="8" t="str">
        <x:f>HYPERLINK("#'Места'!A33","Sekumpul Waterfall · Север")</x:f>
        <x:v>Sekumpul Waterfall · Север</x:v>
      </x:c>
      <x:c r="C47" s="4"/>
      <x:c r="D47" s="4"/>
      <x:c r="E47" s="4"/>
      <x:c r="F47" s="4"/>
      <x:c r="G47" s="4"/>
      <x:c r="H47" s="53" t="str">
        <x:v>02</x:v>
      </x:c>
      <x:c r="I47" s="8" t="str">
        <x:f>HYPERLINK("#'Места'!A18","Tegenungan Waterfall · Убуд")</x:f>
        <x:v>Tegenungan Waterfall · Убуд</x:v>
      </x:c>
      <x:c r="J47" s="4"/>
      <x:c r="K47" s="4"/>
      <x:c r="L47" s="4"/>
      <x:c r="M47" s="4"/>
      <x:c r="N47" s="4"/>
    </x:row>
    <x:row r="48" ht="30" customHeight="1">
      <x:c r="A48" s="53" t="str">
        <x:v>03</x:v>
      </x:c>
      <x:c r="B48" s="8" t="str">
        <x:f>HYPERLINK("#'Места'!A68","Tibumana Waterfall · Убуд")</x:f>
        <x:v>Tibumana Waterfall · Убуд</x:v>
      </x:c>
      <x:c r="C48" s="4"/>
      <x:c r="D48" s="4"/>
      <x:c r="E48" s="4"/>
      <x:c r="F48" s="4"/>
      <x:c r="G48" s="4"/>
      <x:c r="H48" s="53" t="str">
        <x:v>04</x:v>
      </x:c>
      <x:c r="I48" s="8" t="str">
        <x:f>HYPERLINK("#'Места'!A59","Tukad Cepung Waterfall · Бангли")</x:f>
        <x:v>Tukad Cepung Waterfall · Бангли</x:v>
      </x:c>
      <x:c r="J48" s="4"/>
      <x:c r="K48" s="4"/>
      <x:c r="L48" s="4"/>
      <x:c r="M48" s="4"/>
      <x:c r="N48" s="4"/>
    </x:row>
    <x:row r="49" ht="30" customHeight="1">
      <x:c r="A49" s="53" t="str">
        <x:v>05</x:v>
      </x:c>
      <x:c r="B49" s="8" t="str">
        <x:f>HYPERLINK("#'Места'!A64","Banyumala Twin Waterfalls · Мундук")</x:f>
        <x:v>Banyumala Twin Waterfalls · Мундук</x:v>
      </x:c>
      <x:c r="C49" s="4"/>
      <x:c r="D49" s="4"/>
      <x:c r="E49" s="4"/>
      <x:c r="F49" s="4"/>
      <x:c r="G49" s="4"/>
      <x:c r="H49" s="53" t="str">
        <x:v>06</x:v>
      </x:c>
      <x:c r="I49" s="8" t="str">
        <x:f>HYPERLINK("#'Места'!A61","Nungnung Waterfall · Центр")</x:f>
        <x:v>Nungnung Waterfall · Центр</x:v>
      </x:c>
      <x:c r="J49" s="4"/>
      <x:c r="K49" s="4"/>
      <x:c r="L49" s="4"/>
      <x:c r="M49" s="4"/>
      <x:c r="N49" s="4"/>
    </x:row>
    <x:row r="50" ht="30" customHeight="1">
      <x:c r="A50" s="53" t="str">
        <x:v>07</x:v>
      </x:c>
      <x:c r="B50" s="8" t="str">
        <x:f>HYPERLINK("#'Места'!A73","Leke Leke Waterfall · Бедугул")</x:f>
        <x:v>Leke Leke Waterfall · Бедугул</x:v>
      </x:c>
      <x:c r="C50" s="4"/>
      <x:c r="D50" s="4"/>
      <x:c r="E50" s="4"/>
      <x:c r="F50" s="4"/>
      <x:c r="G50" s="4"/>
      <x:c r="H50" s="53" t="str">
        <x:v>08</x:v>
      </x:c>
      <x:c r="I50" s="8" t="str">
        <x:f>HYPERLINK("#'Места'!A58","Aling-Aling Waterfall · Север")</x:f>
        <x:v>Aling-Aling Waterfall · Север</x:v>
      </x:c>
      <x:c r="J50" s="4"/>
      <x:c r="K50" s="4"/>
      <x:c r="L50" s="4"/>
      <x:c r="M50" s="4"/>
      <x:c r="N50" s="4"/>
    </x:row>
    <x:row r="51" ht="30" customHeight="1">
      <x:c r="A51" s="53" t="str">
        <x:v>09</x:v>
      </x:c>
      <x:c r="B51" s="8" t="str">
        <x:f>HYPERLINK("#'Места'!A34","Gitgit Waterfall · Север")</x:f>
        <x:v>Gitgit Waterfall · Север</x:v>
      </x:c>
      <x:c r="C51" s="4"/>
      <x:c r="D51" s="4"/>
      <x:c r="E51" s="4"/>
      <x:c r="F51" s="4"/>
      <x:c r="G51" s="4"/>
      <x:c r="H51" s="53" t="str">
        <x:v>10</x:v>
      </x:c>
      <x:c r="I51" s="8" t="str">
        <x:f>HYPERLINK("#'Места'!A52","Munduk Waterfall · Мундук")</x:f>
        <x:v>Munduk Waterfall · Мундук</x:v>
      </x:c>
      <x:c r="J51" s="4"/>
      <x:c r="K51" s="4"/>
      <x:c r="L51" s="4"/>
      <x:c r="M51" s="4"/>
      <x:c r="N51" s="4"/>
    </x:row>
    <x:row r="52" ht="30" customHeight="1">
      <x:c r="A52" s="53" t="str">
        <x:v>11</x:v>
      </x:c>
      <x:c r="B52" s="8" t="str">
        <x:f>HYPERLINK("#'Места'!A76","Banyu Wana Amertha Waterfall · Мундук")</x:f>
        <x:v>Banyu Wana Amertha Waterfall · Мундук</x:v>
      </x:c>
      <x:c r="C52" s="4"/>
      <x:c r="D52" s="4"/>
      <x:c r="E52" s="4"/>
      <x:c r="F52" s="4"/>
      <x:c r="G52" s="4"/>
      <x:c r="H52" s="53" t="str">
        <x:v>12</x:v>
      </x:c>
      <x:c r="I52" s="8" t="str">
        <x:f>HYPERLINK("#'Места'!A79","Gembleng Waterfall · Сидемен")</x:f>
        <x:v>Gembleng Waterfall · Сидемен</x:v>
      </x:c>
      <x:c r="J52" s="4"/>
      <x:c r="K52" s="4"/>
      <x:c r="L52" s="4"/>
      <x:c r="M52" s="4"/>
      <x:c r="N52" s="4"/>
    </x:row>
    <x:row r="53" ht="30" customHeight="1">
      <x:c r="A53" s="53" t="str">
        <x:v>13</x:v>
      </x:c>
      <x:c r="B53" s="8" t="str">
        <x:f>HYPERLINK("#'Места'!A82","Suwat Waterfall · Убуд")</x:f>
        <x:v>Suwat Waterfall · Убуд</x:v>
      </x:c>
      <x:c r="C53" s="4"/>
      <x:c r="D53" s="4"/>
      <x:c r="E53" s="4"/>
      <x:c r="F53" s="4"/>
      <x:c r="G53" s="4"/>
      <x:c r="H53" s="53" t="str">
        <x:v>14</x:v>
      </x:c>
      <x:c r="I53" s="8" t="str">
        <x:f>HYPERLINK("#'Места'!A54","Kanto Lampo Waterfall · Убуд")</x:f>
        <x:v>Kanto Lampo Waterfall · Убуд</x:v>
      </x:c>
      <x:c r="J53" s="4"/>
      <x:c r="K53" s="4"/>
      <x:c r="L53" s="4"/>
      <x:c r="M53" s="4"/>
      <x:c r="N53" s="4"/>
    </x:row>
    <x:row r="54" ht="30" customHeight="1">
      <x:c r="A54" s="54" t="str">
        <x:v>15</x:v>
      </x:c>
      <x:c r="B54" s="8" t="str">
        <x:f>HYPERLINK("#'Места'!A48","Melasti Beach Ungasan · Букит")</x:f>
        <x:v>Melasti Beach Ungasan · Букит</x:v>
      </x:c>
      <x:c r="C54" s="4"/>
      <x:c r="D54" s="4"/>
      <x:c r="E54" s="4"/>
      <x:c r="F54" s="4"/>
      <x:c r="G54" s="4"/>
      <x:c r="H54" s="54" t="str">
        <x:v>16</x:v>
      </x:c>
      <x:c r="I54" s="8" t="str">
        <x:f>HYPERLINK("#'Места'!A20","Pandawa Beach · Букит")</x:f>
        <x:v>Pandawa Beach · Букит</x:v>
      </x:c>
      <x:c r="J54" s="4"/>
      <x:c r="K54" s="4"/>
      <x:c r="L54" s="4"/>
      <x:c r="M54" s="4"/>
      <x:c r="N54" s="4"/>
    </x:row>
    <x:row r="55" ht="30" customHeight="1">
      <x:c r="A55" s="54" t="str">
        <x:v>17</x:v>
      </x:c>
      <x:c r="B55" s="8" t="str">
        <x:f>HYPERLINK("#'Места'!A25","Padang Padang Beach · Букит")</x:f>
        <x:v>Padang Padang Beach · Букит</x:v>
      </x:c>
      <x:c r="C55" s="4"/>
      <x:c r="D55" s="4"/>
      <x:c r="E55" s="4"/>
      <x:c r="F55" s="4"/>
      <x:c r="G55" s="4"/>
      <x:c r="H55" s="54" t="str">
        <x:v>18</x:v>
      </x:c>
      <x:c r="I55" s="8" t="str">
        <x:f>HYPERLINK("#'Места'!A44","Bingin Beach · Букит")</x:f>
        <x:v>Bingin Beach · Букит</x:v>
      </x:c>
      <x:c r="J55" s="4"/>
      <x:c r="K55" s="4"/>
      <x:c r="L55" s="4"/>
      <x:c r="M55" s="4"/>
      <x:c r="N55" s="4"/>
    </x:row>
    <x:row r="56" ht="30" customHeight="1">
      <x:c r="A56" s="54" t="str">
        <x:v>19</x:v>
      </x:c>
      <x:c r="B56" s="8" t="str">
        <x:f>HYPERLINK("#'Места'!A38","Balangan Beach · Букит")</x:f>
        <x:v>Balangan Beach · Букит</x:v>
      </x:c>
      <x:c r="C56" s="4"/>
      <x:c r="D56" s="4"/>
      <x:c r="E56" s="4"/>
      <x:c r="F56" s="4"/>
      <x:c r="G56" s="4"/>
      <x:c r="H56" s="54" t="str">
        <x:v>20</x:v>
      </x:c>
      <x:c r="I56" s="8" t="str">
        <x:f>HYPERLINK("#'Места'!A55","Suluban Beach · Букит")</x:f>
        <x:v>Suluban Beach · Букит</x:v>
      </x:c>
      <x:c r="J56" s="4"/>
      <x:c r="K56" s="4"/>
      <x:c r="L56" s="4"/>
      <x:c r="M56" s="4"/>
      <x:c r="N56" s="4"/>
    </x:row>
    <x:row r="57" ht="30" customHeight="1">
      <x:c r="A57" s="54" t="str">
        <x:v>21</x:v>
      </x:c>
      <x:c r="B57" s="8" t="str">
        <x:f>HYPERLINK("#'Места'!A65","Nyang Nyang Beach · Букит")</x:f>
        <x:v>Nyang Nyang Beach · Букит</x:v>
      </x:c>
      <x:c r="C57" s="4"/>
      <x:c r="D57" s="4"/>
      <x:c r="E57" s="4"/>
      <x:c r="F57" s="4"/>
      <x:c r="G57" s="4"/>
      <x:c r="H57" s="54" t="str">
        <x:v>22</x:v>
      </x:c>
      <x:c r="I57" s="8" t="str">
        <x:f>HYPERLINK("#'Места'!A71","Gunung Payung Beach · Букит")</x:f>
        <x:v>Gunung Payung Beach · Букит</x:v>
      </x:c>
      <x:c r="J57" s="4"/>
      <x:c r="K57" s="4"/>
      <x:c r="L57" s="4"/>
      <x:c r="M57" s="4"/>
      <x:c r="N57" s="4"/>
    </x:row>
    <x:row r="58" ht="30" customHeight="1">
      <x:c r="A58" s="54" t="str">
        <x:v>23</x:v>
      </x:c>
      <x:c r="B58" s="8" t="str">
        <x:f>HYPERLINK("#'Места'!A53","Green Bowl Beach · Букит")</x:f>
        <x:v>Green Bowl Beach · Букит</x:v>
      </x:c>
      <x:c r="C58" s="4"/>
      <x:c r="D58" s="4"/>
      <x:c r="E58" s="4"/>
      <x:c r="F58" s="4"/>
      <x:c r="G58" s="4"/>
      <x:c r="H58" s="54" t="str">
        <x:v>24</x:v>
      </x:c>
      <x:c r="I58" s="8" t="str">
        <x:f>HYPERLINK("#'Места'!A63","Virgin Beach · Карангасем")</x:f>
        <x:v>Virgin Beach · Карангасем</x:v>
      </x:c>
      <x:c r="J58" s="4"/>
      <x:c r="K58" s="4"/>
      <x:c r="L58" s="4"/>
      <x:c r="M58" s="4"/>
      <x:c r="N58" s="4"/>
    </x:row>
    <x:row r="59" ht="30" customHeight="1">
      <x:c r="A59" s="54" t="str">
        <x:v>25</x:v>
      </x:c>
      <x:c r="B59" s="8" t="str">
        <x:f>HYPERLINK("#'Места'!A41","Jemeluk Beach · Амед")</x:f>
        <x:v>Jemeluk Beach · Амед</x:v>
      </x:c>
      <x:c r="C59" s="4"/>
      <x:c r="D59" s="4"/>
      <x:c r="E59" s="4"/>
      <x:c r="F59" s="4"/>
      <x:c r="G59" s="4"/>
      <x:c r="H59" s="54" t="str">
        <x:v>26</x:v>
      </x:c>
      <x:c r="I59" s="8" t="str">
        <x:f>HYPERLINK("#'Места'!A15","Sanur Beach · Санур")</x:f>
        <x:v>Sanur Beach · Санур</x:v>
      </x:c>
      <x:c r="J59" s="4"/>
      <x:c r="K59" s="4"/>
      <x:c r="L59" s="4"/>
      <x:c r="M59" s="4"/>
      <x:c r="N59" s="4"/>
    </x:row>
    <x:row r="60" ht="30" customHeight="1">
      <x:c r="A60" s="54" t="str">
        <x:v>27</x:v>
      </x:c>
      <x:c r="B60" s="8" t="str">
        <x:f>HYPERLINK("#'Места'!A31","Kelingking Beach · Нуса-Пенида")</x:f>
        <x:v>Kelingking Beach · Нуса-Пенида</x:v>
      </x:c>
      <x:c r="C60" s="4"/>
      <x:c r="D60" s="4"/>
      <x:c r="E60" s="4"/>
      <x:c r="F60" s="4"/>
      <x:c r="G60" s="4"/>
      <x:c r="H60" s="54" t="str">
        <x:v>28</x:v>
      </x:c>
      <x:c r="I60" s="8" t="str">
        <x:f>HYPERLINK("#'Места'!A69","Diamond Beach · Нуса-Пенида")</x:f>
        <x:v>Diamond Beach · Нуса-Пенида</x:v>
      </x:c>
      <x:c r="J60" s="4"/>
      <x:c r="K60" s="4"/>
      <x:c r="L60" s="4"/>
      <x:c r="M60" s="4"/>
      <x:c r="N60" s="4"/>
    </x:row>
    <x:row r="61" ht="30" customHeight="1">
      <x:c r="A61" s="54" t="str">
        <x:v>29</x:v>
      </x:c>
      <x:c r="B61" s="8" t="str">
        <x:f>HYPERLINK("#'Места'!A56","Atuh Beach · Нуса-Пенида")</x:f>
        <x:v>Atuh Beach · Нуса-Пенида</x:v>
      </x:c>
      <x:c r="C61" s="4"/>
      <x:c r="D61" s="4"/>
      <x:c r="E61" s="4"/>
      <x:c r="F61" s="4"/>
      <x:c r="G61" s="4"/>
      <x:c r="H61" s="54" t="str">
        <x:v>30</x:v>
      </x:c>
      <x:c r="I61" s="8" t="str">
        <x:f>HYPERLINK("#'Места'!A42","Crystal Bay · Нуса-Пенида")</x:f>
        <x:v>Crystal Bay · Нуса-Пенида</x:v>
      </x:c>
      <x:c r="J61" s="4"/>
      <x:c r="K61" s="4"/>
      <x:c r="L61" s="4"/>
      <x:c r="M61" s="4"/>
      <x:c r="N61" s="4"/>
    </x:row>
    <x:row r="62" ht="30" customHeight="1">
      <x:c r="A62" s="55" t="str">
        <x:v>31</x:v>
      </x:c>
      <x:c r="B62" s="8" t="str">
        <x:f>HYPERLINK("#'Места'!A13","Tanah Lot · Табанан")</x:f>
        <x:v>Tanah Lot · Табанан</x:v>
      </x:c>
      <x:c r="C62" s="4"/>
      <x:c r="D62" s="4"/>
      <x:c r="E62" s="4"/>
      <x:c r="F62" s="4"/>
      <x:c r="G62" s="4"/>
      <x:c r="H62" s="55" t="str">
        <x:v>32</x:v>
      </x:c>
      <x:c r="I62" s="8" t="str">
        <x:f>HYPERLINK("#'Места'!A14","Uluwatu Temple · Букит")</x:f>
        <x:v>Uluwatu Temple · Букит</x:v>
      </x:c>
      <x:c r="J62" s="4"/>
      <x:c r="K62" s="4"/>
      <x:c r="L62" s="4"/>
      <x:c r="M62" s="4"/>
      <x:c r="N62" s="4"/>
    </x:row>
    <x:row r="63" ht="30" customHeight="1">
      <x:c r="A63" s="55" t="str">
        <x:v>33</x:v>
      </x:c>
      <x:c r="B63" s="8" t="str">
        <x:f>HYPERLINK("#'Места'!A22","Tirta Empul · Тампаксиринг")</x:f>
        <x:v>Tirta Empul · Тампаксиринг</x:v>
      </x:c>
      <x:c r="C63" s="4"/>
      <x:c r="D63" s="4"/>
      <x:c r="E63" s="4"/>
      <x:c r="F63" s="4"/>
      <x:c r="G63" s="4"/>
      <x:c r="H63" s="55" t="str">
        <x:v>34</x:v>
      </x:c>
      <x:c r="I63" s="8" t="str">
        <x:f>HYPERLINK("#'Места'!A19","Ulun Danu Beratan · Бедугул")</x:f>
        <x:v>Ulun Danu Beratan · Бедугул</x:v>
      </x:c>
      <x:c r="J63" s="4"/>
      <x:c r="K63" s="4"/>
      <x:c r="L63" s="4"/>
      <x:c r="M63" s="4"/>
      <x:c r="N63" s="4"/>
    </x:row>
    <x:row r="64" ht="30" customHeight="1">
      <x:c r="A64" s="55" t="str">
        <x:v>35</x:v>
      </x:c>
      <x:c r="B64" s="8" t="str">
        <x:f>HYPERLINK("#'Места'!A27","Besakih Temple · Карангасем")</x:f>
        <x:v>Besakih Temple · Карангасем</x:v>
      </x:c>
      <x:c r="C64" s="4"/>
      <x:c r="D64" s="4"/>
      <x:c r="E64" s="4"/>
      <x:c r="F64" s="4"/>
      <x:c r="G64" s="4"/>
      <x:c r="H64" s="55" t="str">
        <x:v>36</x:v>
      </x:c>
      <x:c r="I64" s="8" t="str">
        <x:f>HYPERLINK("#'Места'!A37","Gunung Kawi Tampaksiring · Тампаксиринг")</x:f>
        <x:v>Gunung Kawi Tampaksiring · Тампаксиринг</x:v>
      </x:c>
      <x:c r="J64" s="4"/>
      <x:c r="K64" s="4"/>
      <x:c r="L64" s="4"/>
      <x:c r="M64" s="4"/>
      <x:c r="N64" s="4"/>
    </x:row>
    <x:row r="65" ht="30" customHeight="1">
      <x:c r="A65" s="55" t="str">
        <x:v>37</x:v>
      </x:c>
      <x:c r="B65" s="8" t="str">
        <x:f>HYPERLINK("#'Места'!A17","Goa Gajah · Убуд")</x:f>
        <x:v>Goa Gajah · Убуд</x:v>
      </x:c>
      <x:c r="C65" s="4"/>
      <x:c r="D65" s="4"/>
      <x:c r="E65" s="4"/>
      <x:c r="F65" s="4"/>
      <x:c r="G65" s="4"/>
      <x:c r="H65" s="55" t="str">
        <x:v>38</x:v>
      </x:c>
      <x:c r="I65" s="8" t="str">
        <x:f>HYPERLINK("#'Места'!A32","Taman Ayun · Менгви")</x:f>
        <x:v>Taman Ayun · Менгви</x:v>
      </x:c>
      <x:c r="J65" s="4"/>
      <x:c r="K65" s="4"/>
      <x:c r="L65" s="4"/>
      <x:c r="M65" s="4"/>
      <x:c r="N65" s="4"/>
    </x:row>
    <x:row r="66" ht="30" customHeight="1">
      <x:c r="A66" s="55" t="str">
        <x:v>39</x:v>
      </x:c>
      <x:c r="B66" s="8" t="str">
        <x:f>HYPERLINK("#'Места'!A24","Tirta Gangga · Карангасем")</x:f>
        <x:v>Tirta Gangga · Карангасем</x:v>
      </x:c>
      <x:c r="C66" s="4"/>
      <x:c r="D66" s="4"/>
      <x:c r="E66" s="4"/>
      <x:c r="F66" s="4"/>
      <x:c r="G66" s="4"/>
      <x:c r="H66" s="55" t="str">
        <x:v>40</x:v>
      </x:c>
      <x:c r="I66" s="8" t="str">
        <x:f>HYPERLINK("#'Места'!A36","Taman Ujung · Карангасем")</x:f>
        <x:v>Taman Ujung · Карангасем</x:v>
      </x:c>
      <x:c r="J66" s="4"/>
      <x:c r="K66" s="4"/>
      <x:c r="L66" s="4"/>
      <x:c r="M66" s="4"/>
      <x:c r="N66" s="4"/>
    </x:row>
    <x:row r="67" ht="30" customHeight="1">
      <x:c r="A67" s="55" t="str">
        <x:v>41</x:v>
      </x:c>
      <x:c r="B67" s="8" t="str">
        <x:f>HYPERLINK("#'Места'!A47","Penglipuran Village · Бангли")</x:f>
        <x:v>Penglipuran Village · Бангли</x:v>
      </x:c>
      <x:c r="C67" s="4"/>
      <x:c r="D67" s="4"/>
      <x:c r="E67" s="4"/>
      <x:c r="F67" s="4"/>
      <x:c r="G67" s="4"/>
      <x:c r="H67" s="56" t="str">
        <x:v>42</x:v>
      </x:c>
      <x:c r="I67" s="8" t="str">
        <x:f>HYPERLINK("#'Места'!A11","Ubud Monkey Forest · Убуд")</x:f>
        <x:v>Ubud Monkey Forest · Убуд</x:v>
      </x:c>
      <x:c r="J67" s="4"/>
      <x:c r="K67" s="4"/>
      <x:c r="L67" s="4"/>
      <x:c r="M67" s="4"/>
      <x:c r="N67" s="4"/>
    </x:row>
    <x:row r="68" ht="30" customHeight="1">
      <x:c r="A68" s="55" t="str">
        <x:v>43</x:v>
      </x:c>
      <x:c r="B68" s="8" t="str">
        <x:f>HYPERLINK("#'Места'!A39","Lempuyang Temple · Карангасем")</x:f>
        <x:v>Lempuyang Temple · Карангасем</x:v>
      </x:c>
      <x:c r="C68" s="4"/>
      <x:c r="D68" s="4"/>
      <x:c r="E68" s="4"/>
      <x:c r="F68" s="4"/>
      <x:c r="G68" s="4"/>
      <x:c r="H68" s="56" t="str">
        <x:v>44</x:v>
      </x:c>
      <x:c r="I68" s="8" t="str">
        <x:f>HYPERLINK("#'Места'!A28","Jatiluwih Rice Terraces · Табанан")</x:f>
        <x:v>Jatiluwih Rice Terraces · Табанан</x:v>
      </x:c>
      <x:c r="J68" s="4"/>
      <x:c r="K68" s="4"/>
      <x:c r="L68" s="4"/>
      <x:c r="M68" s="4"/>
      <x:c r="N68" s="4"/>
    </x:row>
    <x:row r="69" ht="30" customHeight="1">
      <x:c r="A69" s="56" t="str">
        <x:v>45</x:v>
      </x:c>
      <x:c r="B69" s="8" t="str">
        <x:f>HYPERLINK("#'Места'!A12","Tegalalang Rice Terrace · Убуд")</x:f>
        <x:v>Tegalalang Rice Terrace · Убуд</x:v>
      </x:c>
      <x:c r="C69" s="4"/>
      <x:c r="D69" s="4"/>
      <x:c r="E69" s="4"/>
      <x:c r="F69" s="4"/>
      <x:c r="G69" s="4"/>
      <x:c r="H69" s="56" t="str">
        <x:v>46</x:v>
      </x:c>
      <x:c r="I69" s="8" t="str">
        <x:f>HYPERLINK("#'Места'!A16","Campuhan Ridge Walk · Убуд")</x:f>
        <x:v>Campuhan Ridge Walk · Убуд</x:v>
      </x:c>
      <x:c r="J69" s="4"/>
      <x:c r="K69" s="4"/>
      <x:c r="L69" s="4"/>
      <x:c r="M69" s="4"/>
      <x:c r="N69" s="4"/>
    </x:row>
    <x:row r="70" ht="30" customHeight="1">
      <x:c r="A70" s="56" t="str">
        <x:v>47</x:v>
      </x:c>
      <x:c r="B70" s="8" t="str">
        <x:f>HYPERLINK("#'Места'!A81","Sidemen Rice Terrace · Сидемен")</x:f>
        <x:v>Sidemen Rice Terrace · Сидемен</x:v>
      </x:c>
      <x:c r="C70" s="4"/>
      <x:c r="D70" s="4"/>
      <x:c r="E70" s="4"/>
      <x:c r="F70" s="4"/>
      <x:c r="G70" s="4"/>
      <x:c r="H70" s="56" t="str">
        <x:v>48</x:v>
      </x:c>
      <x:c r="I70" s="8" t="str">
        <x:f>HYPERLINK("#'Места'!A77","Lahangan Sweet · Амед")</x:f>
        <x:v>Lahangan Sweet · Амед</x:v>
      </x:c>
      <x:c r="J70" s="4"/>
      <x:c r="K70" s="4"/>
      <x:c r="L70" s="4"/>
      <x:c r="M70" s="4"/>
      <x:c r="N70" s="4"/>
    </x:row>
    <x:row r="71" ht="30" customHeight="1">
      <x:c r="A71" s="56" t="str">
        <x:v>49</x:v>
      </x:c>
      <x:c r="B71" s="8" t="str">
        <x:f>HYPERLINK("#'Места'!A80","Bukit Asah · Карангасем")</x:f>
        <x:v>Bukit Asah · Карангасем</x:v>
      </x:c>
      <x:c r="C71" s="4"/>
      <x:c r="D71" s="4"/>
      <x:c r="E71" s="4"/>
      <x:c r="F71" s="4"/>
      <x:c r="G71" s="4"/>
      <x:c r="H71" s="56" t="str">
        <x:v>50</x:v>
      </x:c>
      <x:c r="I71" s="8" t="str">
        <x:f>HYPERLINK("#'Места'!A26","Mount Batur · Кинтамани")</x:f>
        <x:v>Mount Batur · Кинтамани</x:v>
      </x:c>
      <x:c r="J71" s="4"/>
      <x:c r="K71" s="4"/>
      <x:c r="L71" s="4"/>
      <x:c r="M71" s="4"/>
      <x:c r="N71" s="4"/>
    </x:row>
    <x:row r="72" ht="30" customHeight="1">
      <x:c r="A72" s="56" t="str">
        <x:v>51</x:v>
      </x:c>
      <x:c r="B72" s="8" t="str">
        <x:f>HYPERLINK("#'Места'!A57","Batur Natural Hot Spring · Кинтамани")</x:f>
        <x:v>Batur Natural Hot Spring · Кинтамани</x:v>
      </x:c>
      <x:c r="C72" s="4"/>
      <x:c r="D72" s="4"/>
      <x:c r="E72" s="4"/>
      <x:c r="F72" s="4"/>
      <x:c r="G72" s="4"/>
      <x:c r="H72" s="56" t="str">
        <x:v>52</x:v>
      </x:c>
      <x:c r="I72" s="8" t="str">
        <x:f>HYPERLINK("#'Места'!A67","Tamblingan Lake · Мундук")</x:f>
        <x:v>Tamblingan Lake · Мундук</x:v>
      </x:c>
      <x:c r="J72" s="4"/>
      <x:c r="K72" s="4"/>
      <x:c r="L72" s="4"/>
      <x:c r="M72" s="4"/>
      <x:c r="N72" s="4"/>
    </x:row>
    <x:row r="73" ht="30" customHeight="1">
      <x:c r="A73" s="56" t="str">
        <x:v>53</x:v>
      </x:c>
      <x:c r="B73" s="8" t="str">
        <x:f>HYPERLINK("#'Места'!A49","Sangeh Monkey Forest · Менгви")</x:f>
        <x:v>Sangeh Monkey Forest · Менгви</x:v>
      </x:c>
      <x:c r="C73" s="4"/>
      <x:c r="D73" s="4"/>
      <x:c r="E73" s="4"/>
      <x:c r="F73" s="4"/>
      <x:c r="G73" s="4"/>
      <x:c r="H73" s="56" t="str">
        <x:v>54</x:v>
      </x:c>
      <x:c r="I73" s="8" t="str">
        <x:f>HYPERLINK("#'Места'!A50","Bali Botanic Garden · Бедугул")</x:f>
        <x:v>Bali Botanic Garden · Бедугул</x:v>
      </x:c>
      <x:c r="J73" s="4"/>
      <x:c r="K73" s="4"/>
      <x:c r="L73" s="4"/>
      <x:c r="M73" s="4"/>
      <x:c r="N73" s="4"/>
    </x:row>
    <x:row r="74" ht="30" customHeight="1">
      <x:c r="A74" s="56" t="str">
        <x:v>55</x:v>
      </x:c>
      <x:c r="B74" s="8" t="str">
        <x:f>HYPERLINK("#'Места'!A74","Bunut Bolong · Запад")</x:f>
        <x:v>Bunut Bolong · Запад</x:v>
      </x:c>
      <x:c r="C74" s="4"/>
      <x:c r="D74" s="4"/>
      <x:c r="E74" s="4"/>
      <x:c r="F74" s="4"/>
      <x:c r="G74" s="4"/>
      <x:c r="H74" s="56" t="str">
        <x:v>56</x:v>
      </x:c>
      <x:c r="I74" s="8" t="str">
        <x:f>HYPERLINK("#'Места'!A83","Savana Tianyar · Тианьяр")</x:f>
        <x:v>Savana Tianyar · Тианьяр</x:v>
      </x:c>
      <x:c r="J74" s="4"/>
      <x:c r="K74" s="4"/>
      <x:c r="L74" s="4"/>
      <x:c r="M74" s="4"/>
      <x:c r="N74" s="4"/>
    </x:row>
    <x:row r="75" ht="30" customHeight="1">
      <x:c r="A75" s="55" t="str">
        <x:v>57</x:v>
      </x:c>
      <x:c r="B75" s="8" t="str">
        <x:f>HYPERLINK("#'Места'!A46","Tenganan Ancient Village · Карангасем")</x:f>
        <x:v>Tenganan Ancient Village · Карангасем</x:v>
      </x:c>
      <x:c r="C75" s="4"/>
      <x:c r="D75" s="4"/>
      <x:c r="E75" s="4"/>
      <x:c r="F75" s="4"/>
      <x:c r="G75" s="4"/>
      <x:c r="H75" s="56" t="str">
        <x:v>58</x:v>
      </x:c>
      <x:c r="I75" s="8" t="str">
        <x:f>HYPERLINK("#'Места'!A45","Bali Butterfly Park · Табанан")</x:f>
        <x:v>Bali Butterfly Park · Табанан</x:v>
      </x:c>
      <x:c r="J75" s="4"/>
      <x:c r="K75" s="4"/>
      <x:c r="L75" s="4"/>
      <x:c r="M75" s="4"/>
      <x:c r="N75" s="4"/>
    </x:row>
    <x:row r="76" ht="30" customHeight="1">
      <x:c r="A76" s="56" t="str">
        <x:v>59</x:v>
      </x:c>
      <x:c r="B76" s="8" t="str">
        <x:f>HYPERLINK("#'Места'!A60","Beji Guwang Hidden Canyon · Сукавати")</x:f>
        <x:v>Beji Guwang Hidden Canyon · Сукавати</x:v>
      </x:c>
      <x:c r="C76" s="4"/>
      <x:c r="D76" s="4"/>
      <x:c r="E76" s="4"/>
      <x:c r="F76" s="4"/>
      <x:c r="G76" s="4"/>
      <x:c r="H76" s="57" t="str">
        <x:v>60</x:v>
      </x:c>
      <x:c r="I76" s="8" t="str">
        <x:f>HYPERLINK("#'Места'!A29","Ibu Oka 3 · Убуд")</x:f>
        <x:v>Ibu Oka 3 · Убуд</x:v>
      </x:c>
      <x:c r="J76" s="4"/>
      <x:c r="K76" s="4"/>
      <x:c r="L76" s="4"/>
      <x:c r="M76" s="4"/>
      <x:c r="N76" s="4"/>
    </x:row>
    <x:row r="77" ht="30" customHeight="1">
      <x:c r="A77" s="57" t="str">
        <x:v>61</x:v>
      </x:c>
      <x:c r="B77" s="8" t="str">
        <x:f>HYPERLINK("#'Места'!A40","Babi Guling Pak Malen · Семиньяк")</x:f>
        <x:v>Babi Guling Pak Malen · Семиньяк</x:v>
      </x:c>
      <x:c r="C77" s="4"/>
      <x:c r="D77" s="4"/>
      <x:c r="E77" s="4"/>
      <x:c r="F77" s="4"/>
      <x:c r="G77" s="4"/>
      <x:c r="H77" s="57" t="str">
        <x:v>62</x:v>
      </x:c>
      <x:c r="I77" s="8" t="str">
        <x:f>HYPERLINK("#'Места'!A62","Nasi Ayam Kedewatan Ibu Mangku · Убуд")</x:f>
        <x:v>Nasi Ayam Kedewatan Ibu Mangku · Убуд</x:v>
      </x:c>
      <x:c r="J77" s="4"/>
      <x:c r="K77" s="4"/>
      <x:c r="L77" s="4"/>
      <x:c r="M77" s="4"/>
      <x:c r="N77" s="4"/>
    </x:row>
    <x:row r="78" ht="30" customHeight="1">
      <x:c r="A78" s="57" t="str">
        <x:v>63</x:v>
      </x:c>
      <x:c r="B78" s="8" t="str">
        <x:f>HYPERLINK("#'Места'!A21","Bebek Bengil Ubud · Убуд")</x:f>
        <x:v>Bebek Bengil Ubud · Убуд</x:v>
      </x:c>
      <x:c r="C78" s="4"/>
      <x:c r="D78" s="4"/>
      <x:c r="E78" s="4"/>
      <x:c r="F78" s="4"/>
      <x:c r="G78" s="4"/>
      <x:c r="H78" s="57" t="str">
        <x:v>64</x:v>
      </x:c>
      <x:c r="I78" s="8" t="str">
        <x:f>HYPERLINK("#'Места'!A23","Naughty Nuri’s Ubud · Убуд")</x:f>
        <x:v>Naughty Nuri’s Ubud · Убуд</x:v>
      </x:c>
      <x:c r="J78" s="4"/>
      <x:c r="K78" s="4"/>
      <x:c r="L78" s="4"/>
      <x:c r="M78" s="4"/>
      <x:c r="N78" s="4"/>
    </x:row>
    <x:row r="79" ht="30" customHeight="1">
      <x:c r="A79" s="57" t="str">
        <x:v>65</x:v>
      </x:c>
      <x:c r="B79" s="8" t="str">
        <x:f>HYPERLINK("#'Места'!A43","Warung Mak Beng · Санур")</x:f>
        <x:v>Warung Mak Beng · Санур</x:v>
      </x:c>
      <x:c r="C79" s="4"/>
      <x:c r="D79" s="4"/>
      <x:c r="E79" s="4"/>
      <x:c r="F79" s="4"/>
      <x:c r="G79" s="4"/>
      <x:c r="H79" s="57" t="str">
        <x:v>66</x:v>
      </x:c>
      <x:c r="I79" s="8" t="str">
        <x:f>HYPERLINK("#'Места'!A72","Nasi Ayam Men Weti · Санур")</x:f>
        <x:v>Nasi Ayam Men Weti · Санур</x:v>
      </x:c>
      <x:c r="J79" s="4"/>
      <x:c r="K79" s="4"/>
      <x:c r="L79" s="4"/>
      <x:c r="M79" s="4"/>
      <x:c r="N79" s="4"/>
    </x:row>
    <x:row r="80" ht="30" customHeight="1">
      <x:c r="A80" s="57" t="str">
        <x:v>67</x:v>
      </x:c>
      <x:c r="B80" s="8" t="str">
        <x:f>HYPERLINK("#'Места'!A30","Warung Biah Biah · Убуд")</x:f>
        <x:v>Warung Biah Biah · Убуд</x:v>
      </x:c>
      <x:c r="C80" s="4"/>
      <x:c r="D80" s="4"/>
      <x:c r="E80" s="4"/>
      <x:c r="F80" s="4"/>
      <x:c r="G80" s="4"/>
      <x:c r="H80" s="57" t="str">
        <x:v>68</x:v>
      </x:c>
      <x:c r="I80" s="8" t="str">
        <x:f>HYPERLINK("#'Места'!A70","Warung Mami Ikan Bakar · Джимбаран")</x:f>
        <x:v>Warung Mami Ikan Bakar · Джимбаран</x:v>
      </x:c>
      <x:c r="J80" s="4"/>
      <x:c r="K80" s="4"/>
      <x:c r="L80" s="4"/>
      <x:c r="M80" s="4"/>
      <x:c r="N80" s="4"/>
    </x:row>
    <x:row r="81" ht="30" customHeight="1">
      <x:c r="A81" s="57" t="str">
        <x:v>69</x:v>
      </x:c>
      <x:c r="B81" s="8" t="str">
        <x:f>HYPERLINK("#'Места'!A35","La Brisa · Чангу")</x:f>
        <x:v>La Brisa · Чангу</x:v>
      </x:c>
      <x:c r="C81" s="4"/>
      <x:c r="D81" s="4"/>
      <x:c r="E81" s="4"/>
      <x:c r="F81" s="4"/>
      <x:c r="G81" s="4"/>
      <x:c r="H81" s="57" t="str">
        <x:v>70</x:v>
      </x:c>
      <x:c r="I81" s="8" t="str">
        <x:f>HYPERLINK("#'Места'!A51","Zest Ubud · Убуд")</x:f>
        <x:v>Zest Ubud · Убуд</x:v>
      </x:c>
      <x:c r="J81" s="4"/>
      <x:c r="K81" s="4"/>
      <x:c r="L81" s="4"/>
      <x:c r="M81" s="4"/>
      <x:c r="N81" s="4"/>
    </x:row>
    <x:row r="82" ht="30" customHeight="1">
      <x:c r="A82" s="57" t="str">
        <x:v>71</x:v>
      </x:c>
      <x:c r="B82" s="8" t="str">
        <x:f>HYPERLINK("#'Места'!A75","Sate Babi Bawah Pohon · Легиан")</x:f>
        <x:v>Sate Babi Bawah Pohon · Легиан</x:v>
      </x:c>
      <x:c r="C82" s="4"/>
      <x:c r="D82" s="4"/>
      <x:c r="E82" s="4"/>
      <x:c r="F82" s="4"/>
      <x:c r="G82" s="4"/>
      <x:c r="H82" s="57" t="str">
        <x:v>72</x:v>
      </x:c>
      <x:c r="I82" s="8" t="str">
        <x:f>HYPERLINK("#'Места'!A78","BAKED. Berawa · Чангу")</x:f>
        <x:v>BAKED. Berawa · Чангу</x:v>
      </x:c>
      <x:c r="J82" s="4"/>
      <x:c r="K82" s="4"/>
      <x:c r="L82" s="4"/>
      <x:c r="M82" s="4"/>
      <x:c r="N82" s="4"/>
    </x:row>
    <x:row r="83" ht="30" customHeight="1">
      <x:c r="A83" s="57" t="str">
        <x:v>73</x:v>
      </x:c>
      <x:c r="B83" s="8" t="str">
        <x:f>HYPERLINK("#'Места'!A66","Pison Ubud · Убуд")</x:f>
        <x:v>Pison Ubud · Убуд</x:v>
      </x:c>
      <x:c r="C83" s="4"/>
      <x:c r="D83" s="4"/>
      <x:c r="E83" s="4"/>
      <x:c r="F83" s="4"/>
      <x:c r="G83" s="4"/>
      <x:c r="H83" s="4"/>
      <x:c r="I83" s="4"/>
      <x:c r="J83" s="4"/>
      <x:c r="K83" s="4"/>
      <x:c r="L83" s="4"/>
      <x:c r="M83" s="4"/>
      <x:c r="N83" s="4"/>
    </x:row>
    <x:row r="84" ht="18.75" customHeight="1">
      <x:c r="A84" s="4"/>
      <x:c r="B84" s="4"/>
      <x:c r="C84" s="4"/>
      <x:c r="D84" s="4"/>
      <x:c r="E84" s="4"/>
      <x:c r="F84" s="4"/>
      <x:c r="G84" s="4"/>
      <x:c r="H84" s="4"/>
      <x:c r="I84" s="4"/>
      <x:c r="J84" s="4"/>
      <x:c r="K84" s="4"/>
      <x:c r="L84" s="4"/>
      <x:c r="M84" s="4"/>
      <x:c r="N84" s="4"/>
    </x:row>
    <x:row r="85" ht="18.75" customHeight="1">
      <x:c r="A85" s="4"/>
      <x:c r="B85" s="4"/>
      <x:c r="C85" s="4"/>
      <x:c r="D85" s="4"/>
      <x:c r="E85" s="4"/>
      <x:c r="F85" s="4"/>
      <x:c r="G85" s="4"/>
      <x:c r="H85" s="4"/>
      <x:c r="I85" s="4"/>
      <x:c r="J85" s="4"/>
      <x:c r="K85" s="4"/>
      <x:c r="L85" s="4"/>
      <x:c r="M85" s="4"/>
      <x:c r="N85" s="4"/>
    </x:row>
    <x:row r="86" ht="18.75" customHeight="1">
      <x:c r="A86" s="4" t="str">
        <x:v>Картографическая основа и большинство координат: © OpenStreetMap contributors, ODbL. Дополнительные координаты взяты из открытых карточек мест; ссылки и оговорки — в листе «Отзывы». Ряд точек обозначает территорию, парковку или вершину, а не вход. Линии от номеров соединены с фактической точкой.</x:v>
      </x:c>
      <x:c r="B86" s="4" t="str">
        <x:v>Картографическая основа и большинство координат: © OpenStreetMap contributors, ODbL. Дополнительные координаты взяты из открытых карточек мест; ссылки и оговорки — в листе «Отзывы». Ряд точек обозначает территорию, парковку или вершину, а не вход. Линии от номеров соединены с фактической точкой.</x:v>
      </x:c>
      <x:c r="C86" s="4" t="str">
        <x:v>Картографическая основа и большинство координат: © OpenStreetMap contributors, ODbL. Дополнительные координаты взяты из открытых карточек мест; ссылки и оговорки — в листе «Отзывы». Ряд точек обозначает территорию, парковку или вершину, а не вход. Линии от номеров соединены с фактической точкой.</x:v>
      </x:c>
      <x:c r="D86" s="4" t="str">
        <x:v>Картографическая основа и большинство координат: © OpenStreetMap contributors, ODbL. Дополнительные координаты взяты из открытых карточек мест; ссылки и оговорки — в листе «Отзывы». Ряд точек обозначает территорию, парковку или вершину, а не вход. Линии от номеров соединены с фактической точкой.</x:v>
      </x:c>
      <x:c r="E86" s="4" t="str">
        <x:v>Картографическая основа и большинство координат: © OpenStreetMap contributors, ODbL. Дополнительные координаты взяты из открытых карточек мест; ссылки и оговорки — в листе «Отзывы». Ряд точек обозначает территорию, парковку или вершину, а не вход. Линии от номеров соединены с фактической точкой.</x:v>
      </x:c>
      <x:c r="F86" s="4" t="str">
        <x:v>Картографическая основа и большинство координат: © OpenStreetMap contributors, ODbL. Дополнительные координаты взяты из открытых карточек мест; ссылки и оговорки — в листе «Отзывы». Ряд точек обозначает территорию, парковку или вершину, а не вход. Линии от номеров соединены с фактической точкой.</x:v>
      </x:c>
      <x:c r="G86" s="4" t="str">
        <x:v>Картографическая основа и большинство координат: © OpenStreetMap contributors, ODbL. Дополнительные координаты взяты из открытых карточек мест; ссылки и оговорки — в листе «Отзывы». Ряд точек обозначает территорию, парковку или вершину, а не вход. Линии от номеров соединены с фактической точкой.</x:v>
      </x:c>
      <x:c r="H86" s="4" t="str">
        <x:v>Картографическая основа и большинство координат: © OpenStreetMap contributors, ODbL. Дополнительные координаты взяты из открытых карточек мест; ссылки и оговорки — в листе «Отзывы». Ряд точек обозначает территорию, парковку или вершину, а не вход. Линии от номеров соединены с фактической точкой.</x:v>
      </x:c>
      <x:c r="I86" s="4" t="str">
        <x:v>Картографическая основа и большинство координат: © OpenStreetMap contributors, ODbL. Дополнительные координаты взяты из открытых карточек мест; ссылки и оговорки — в листе «Отзывы». Ряд точек обозначает территорию, парковку или вершину, а не вход. Линии от номеров соединены с фактической точкой.</x:v>
      </x:c>
      <x:c r="J86" s="4" t="str">
        <x:v>Картографическая основа и большинство координат: © OpenStreetMap contributors, ODbL. Дополнительные координаты взяты из открытых карточек мест; ссылки и оговорки — в листе «Отзывы». Ряд точек обозначает территорию, парковку или вершину, а не вход. Линии от номеров соединены с фактической точкой.</x:v>
      </x:c>
      <x:c r="K86" s="4" t="str">
        <x:v>Картографическая основа и большинство координат: © OpenStreetMap contributors, ODbL. Дополнительные координаты взяты из открытых карточек мест; ссылки и оговорки — в листе «Отзывы». Ряд точек обозначает территорию, парковку или вершину, а не вход. Линии от номеров соединены с фактической точкой.</x:v>
      </x:c>
      <x:c r="L86" s="4" t="str">
        <x:v>Картографическая основа и большинство координат: © OpenStreetMap contributors, ODbL. Дополнительные координаты взяты из открытых карточек мест; ссылки и оговорки — в листе «Отзывы». Ряд точек обозначает территорию, парковку или вершину, а не вход. Линии от номеров соединены с фактической точкой.</x:v>
      </x:c>
      <x:c r="M86" s="4" t="str">
        <x:v>Картографическая основа и большинство координат: © OpenStreetMap contributors, ODbL. Дополнительные координаты взяты из открытых карточек мест; ссылки и оговорки — в листе «Отзывы». Ряд точек обозначает территорию, парковку или вершину, а не вход. Линии от номеров соединены с фактической точкой.</x:v>
      </x:c>
      <x:c r="N86" s="4" t="str">
        <x:v>Картографическая основа и большинство координат: © OpenStreetMap contributors, ODbL. Дополнительные координаты взяты из открытых карточек мест; ссылки и оговорки — в листе «Отзывы». Ряд точек обозначает территорию, парковку или вершину, а не вход. Линии от номеров соединены с фактической точкой.</x:v>
      </x:c>
    </x:row>
    <x:row r="87" ht="18.75" customHeight="1">
      <x:c r="A87" s="4" t="str">
        <x:v>Картографическая основа и большинство координат: © OpenStreetMap contributors, ODbL. Дополнительные координаты взяты из открытых карточек мест; ссылки и оговорки — в листе «Отзывы». Ряд точек обозначает территорию, парковку или вершину, а не вход. Линии от номеров соединены с фактической точкой.</x:v>
      </x:c>
      <x:c r="B87" s="4" t="str">
        <x:v>Картографическая основа и большинство координат: © OpenStreetMap contributors, ODbL. Дополнительные координаты взяты из открытых карточек мест; ссылки и оговорки — в листе «Отзывы». Ряд точек обозначает территорию, парковку или вершину, а не вход. Линии от номеров соединены с фактической точкой.</x:v>
      </x:c>
      <x:c r="C87" s="4" t="str">
        <x:v>Картографическая основа и большинство координат: © OpenStreetMap contributors, ODbL. Дополнительные координаты взяты из открытых карточек мест; ссылки и оговорки — в листе «Отзывы». Ряд точек обозначает территорию, парковку или вершину, а не вход. Линии от номеров соединены с фактической точкой.</x:v>
      </x:c>
      <x:c r="D87" s="4" t="str">
        <x:v>Картографическая основа и большинство координат: © OpenStreetMap contributors, ODbL. Дополнительные координаты взяты из открытых карточек мест; ссылки и оговорки — в листе «Отзывы». Ряд точек обозначает территорию, парковку или вершину, а не вход. Линии от номеров соединены с фактической точкой.</x:v>
      </x:c>
      <x:c r="E87" s="4" t="str">
        <x:v>Картографическая основа и большинство координат: © OpenStreetMap contributors, ODbL. Дополнительные координаты взяты из открытых карточек мест; ссылки и оговорки — в листе «Отзывы». Ряд точек обозначает территорию, парковку или вершину, а не вход. Линии от номеров соединены с фактической точкой.</x:v>
      </x:c>
      <x:c r="F87" s="4" t="str">
        <x:v>Картографическая основа и большинство координат: © OpenStreetMap contributors, ODbL. Дополнительные координаты взяты из открытых карточек мест; ссылки и оговорки — в листе «Отзывы». Ряд точек обозначает территорию, парковку или вершину, а не вход. Линии от номеров соединены с фактической точкой.</x:v>
      </x:c>
      <x:c r="G87" s="4" t="str">
        <x:v>Картографическая основа и большинство координат: © OpenStreetMap contributors, ODbL. Дополнительные координаты взяты из открытых карточек мест; ссылки и оговорки — в листе «Отзывы». Ряд точек обозначает территорию, парковку или вершину, а не вход. Линии от номеров соединены с фактической точкой.</x:v>
      </x:c>
      <x:c r="H87" s="4" t="str">
        <x:v>Картографическая основа и большинство координат: © OpenStreetMap contributors, ODbL. Дополнительные координаты взяты из открытых карточек мест; ссылки и оговорки — в листе «Отзывы». Ряд точек обозначает территорию, парковку или вершину, а не вход. Линии от номеров соединены с фактической точкой.</x:v>
      </x:c>
      <x:c r="I87" s="4" t="str">
        <x:v>Картографическая основа и большинство координат: © OpenStreetMap contributors, ODbL. Дополнительные координаты взяты из открытых карточек мест; ссылки и оговорки — в листе «Отзывы». Ряд точек обозначает территорию, парковку или вершину, а не вход. Линии от номеров соединены с фактической точкой.</x:v>
      </x:c>
      <x:c r="J87" s="4" t="str">
        <x:v>Картографическая основа и большинство координат: © OpenStreetMap contributors, ODbL. Дополнительные координаты взяты из открытых карточек мест; ссылки и оговорки — в листе «Отзывы». Ряд точек обозначает территорию, парковку или вершину, а не вход. Линии от номеров соединены с фактической точкой.</x:v>
      </x:c>
      <x:c r="K87" s="4" t="str">
        <x:v>Картографическая основа и большинство координат: © OpenStreetMap contributors, ODbL. Дополнительные координаты взяты из открытых карточек мест; ссылки и оговорки — в листе «Отзывы». Ряд точек обозначает территорию, парковку или вершину, а не вход. Линии от номеров соединены с фактической точкой.</x:v>
      </x:c>
      <x:c r="L87" s="4" t="str">
        <x:v>Картографическая основа и большинство координат: © OpenStreetMap contributors, ODbL. Дополнительные координаты взяты из открытых карточек мест; ссылки и оговорки — в листе «Отзывы». Ряд точек обозначает территорию, парковку или вершину, а не вход. Линии от номеров соединены с фактической точкой.</x:v>
      </x:c>
      <x:c r="M87" s="4" t="str">
        <x:v>Картографическая основа и большинство координат: © OpenStreetMap contributors, ODbL. Дополнительные координаты взяты из открытых карточек мест; ссылки и оговорки — в листе «Отзывы». Ряд точек обозначает территорию, парковку или вершину, а не вход. Линии от номеров соединены с фактической точкой.</x:v>
      </x:c>
      <x:c r="N87" s="4" t="str">
        <x:v>Картографическая основа и большинство координат: © OpenStreetMap contributors, ODbL. Дополнительные координаты взяты из открытых карточек мест; ссылки и оговорки — в листе «Отзывы». Ряд точек обозначает территорию, парковку или вершину, а не вход. Линии от номеров соединены с фактической точкой.</x:v>
      </x:c>
    </x:row>
    <x:row r="88" ht="18.75" customHeight="1">
      <x:c r="A88" s="4" t="str">
        <x:v>Картографическая основа и большинство координат: © OpenStreetMap contributors, ODbL. Дополнительные координаты взяты из открытых карточек мест; ссылки и оговорки — в листе «Отзывы». Ряд точек обозначает территорию, парковку или вершину, а не вход. Линии от номеров соединены с фактической точкой.</x:v>
      </x:c>
      <x:c r="B88" s="4" t="str">
        <x:v>Картографическая основа и большинство координат: © OpenStreetMap contributors, ODbL. Дополнительные координаты взяты из открытых карточек мест; ссылки и оговорки — в листе «Отзывы». Ряд точек обозначает территорию, парковку или вершину, а не вход. Линии от номеров соединены с фактической точкой.</x:v>
      </x:c>
      <x:c r="C88" s="4" t="str">
        <x:v>Картографическая основа и большинство координат: © OpenStreetMap contributors, ODbL. Дополнительные координаты взяты из открытых карточек мест; ссылки и оговорки — в листе «Отзывы». Ряд точек обозначает территорию, парковку или вершину, а не вход. Линии от номеров соединены с фактической точкой.</x:v>
      </x:c>
      <x:c r="D88" s="4" t="str">
        <x:v>Картографическая основа и большинство координат: © OpenStreetMap contributors, ODbL. Дополнительные координаты взяты из открытых карточек мест; ссылки и оговорки — в листе «Отзывы». Ряд точек обозначает территорию, парковку или вершину, а не вход. Линии от номеров соединены с фактической точкой.</x:v>
      </x:c>
      <x:c r="E88" s="4" t="str">
        <x:v>Картографическая основа и большинство координат: © OpenStreetMap contributors, ODbL. Дополнительные координаты взяты из открытых карточек мест; ссылки и оговорки — в листе «Отзывы». Ряд точек обозначает территорию, парковку или вершину, а не вход. Линии от номеров соединены с фактической точкой.</x:v>
      </x:c>
      <x:c r="F88" s="4" t="str">
        <x:v>Картографическая основа и большинство координат: © OpenStreetMap contributors, ODbL. Дополнительные координаты взяты из открытых карточек мест; ссылки и оговорки — в листе «Отзывы». Ряд точек обозначает территорию, парковку или вершину, а не вход. Линии от номеров соединены с фактической точкой.</x:v>
      </x:c>
      <x:c r="G88" s="4" t="str">
        <x:v>Картографическая основа и большинство координат: © OpenStreetMap contributors, ODbL. Дополнительные координаты взяты из открытых карточек мест; ссылки и оговорки — в листе «Отзывы». Ряд точек обозначает территорию, парковку или вершину, а не вход. Линии от номеров соединены с фактической точкой.</x:v>
      </x:c>
      <x:c r="H88" s="4" t="str">
        <x:v>Картографическая основа и большинство координат: © OpenStreetMap contributors, ODbL. Дополнительные координаты взяты из открытых карточек мест; ссылки и оговорки — в листе «Отзывы». Ряд точек обозначает территорию, парковку или вершину, а не вход. Линии от номеров соединены с фактической точкой.</x:v>
      </x:c>
      <x:c r="I88" s="4" t="str">
        <x:v>Картографическая основа и большинство координат: © OpenStreetMap contributors, ODbL. Дополнительные координаты взяты из открытых карточек мест; ссылки и оговорки — в листе «Отзывы». Ряд точек обозначает территорию, парковку или вершину, а не вход. Линии от номеров соединены с фактической точкой.</x:v>
      </x:c>
      <x:c r="J88" s="4" t="str">
        <x:v>Картографическая основа и большинство координат: © OpenStreetMap contributors, ODbL. Дополнительные координаты взяты из открытых карточек мест; ссылки и оговорки — в листе «Отзывы». Ряд точек обозначает территорию, парковку или вершину, а не вход. Линии от номеров соединены с фактической точкой.</x:v>
      </x:c>
      <x:c r="K88" s="4" t="str">
        <x:v>Картографическая основа и большинство координат: © OpenStreetMap contributors, ODbL. Дополнительные координаты взяты из открытых карточек мест; ссылки и оговорки — в листе «Отзывы». Ряд точек обозначает территорию, парковку или вершину, а не вход. Линии от номеров соединены с фактической точкой.</x:v>
      </x:c>
      <x:c r="L88" s="4" t="str">
        <x:v>Картографическая основа и большинство координат: © OpenStreetMap contributors, ODbL. Дополнительные координаты взяты из открытых карточек мест; ссылки и оговорки — в листе «Отзывы». Ряд точек обозначает территорию, парковку или вершину, а не вход. Линии от номеров соединены с фактической точкой.</x:v>
      </x:c>
      <x:c r="M88" s="4" t="str">
        <x:v>Картографическая основа и большинство координат: © OpenStreetMap contributors, ODbL. Дополнительные координаты взяты из открытых карточек мест; ссылки и оговорки — в листе «Отзывы». Ряд точек обозначает территорию, парковку или вершину, а не вход. Линии от номеров соединены с фактической точкой.</x:v>
      </x:c>
      <x:c r="N88" s="4" t="str">
        <x:v>Картографическая основа и большинство координат: © OpenStreetMap contributors, ODbL. Дополнительные координаты взяты из открытых карточек мест; ссылки и оговорки — в листе «Отзывы». Ряд точек обозначает территорию, парковку или вершину, а не вход. Линии от номеров соединены с фактической точкой.</x:v>
      </x:c>
    </x:row>
    <x:row r="89" ht="18.75" customHeight="1">
      <x:c r="A89" s="4" t="str">
        <x:v>Картографическая основа и большинство координат: © OpenStreetMap contributors, ODbL. Дополнительные координаты взяты из открытых карточек мест; ссылки и оговорки — в листе «Отзывы». Ряд точек обозначает территорию, парковку или вершину, а не вход. Линии от номеров соединены с фактической точкой.</x:v>
      </x:c>
      <x:c r="B89" s="4" t="str">
        <x:v>Картографическая основа и большинство координат: © OpenStreetMap contributors, ODbL. Дополнительные координаты взяты из открытых карточек мест; ссылки и оговорки — в листе «Отзывы». Ряд точек обозначает территорию, парковку или вершину, а не вход. Линии от номеров соединены с фактической точкой.</x:v>
      </x:c>
      <x:c r="C89" s="4" t="str">
        <x:v>Картографическая основа и большинство координат: © OpenStreetMap contributors, ODbL. Дополнительные координаты взяты из открытых карточек мест; ссылки и оговорки — в листе «Отзывы». Ряд точек обозначает территорию, парковку или вершину, а не вход. Линии от номеров соединены с фактической точкой.</x:v>
      </x:c>
      <x:c r="D89" s="4" t="str">
        <x:v>Картографическая основа и большинство координат: © OpenStreetMap contributors, ODbL. Дополнительные координаты взяты из открытых карточек мест; ссылки и оговорки — в листе «Отзывы». Ряд точек обозначает территорию, парковку или вершину, а не вход. Линии от номеров соединены с фактической точкой.</x:v>
      </x:c>
      <x:c r="E89" s="4" t="str">
        <x:v>Картографическая основа и большинство координат: © OpenStreetMap contributors, ODbL. Дополнительные координаты взяты из открытых карточек мест; ссылки и оговорки — в листе «Отзывы». Ряд точек обозначает территорию, парковку или вершину, а не вход. Линии от номеров соединены с фактической точкой.</x:v>
      </x:c>
      <x:c r="F89" s="4" t="str">
        <x:v>Картографическая основа и большинство координат: © OpenStreetMap contributors, ODbL. Дополнительные координаты взяты из открытых карточек мест; ссылки и оговорки — в листе «Отзывы». Ряд точек обозначает территорию, парковку или вершину, а не вход. Линии от номеров соединены с фактической точкой.</x:v>
      </x:c>
      <x:c r="G89" s="4" t="str">
        <x:v>Картографическая основа и большинство координат: © OpenStreetMap contributors, ODbL. Дополнительные координаты взяты из открытых карточек мест; ссылки и оговорки — в листе «Отзывы». Ряд точек обозначает территорию, парковку или вершину, а не вход. Линии от номеров соединены с фактической точкой.</x:v>
      </x:c>
      <x:c r="H89" s="4" t="str">
        <x:v>Картографическая основа и большинство координат: © OpenStreetMap contributors, ODbL. Дополнительные координаты взяты из открытых карточек мест; ссылки и оговорки — в листе «Отзывы». Ряд точек обозначает территорию, парковку или вершину, а не вход. Линии от номеров соединены с фактической точкой.</x:v>
      </x:c>
      <x:c r="I89" s="4" t="str">
        <x:v>Картографическая основа и большинство координат: © OpenStreetMap contributors, ODbL. Дополнительные координаты взяты из открытых карточек мест; ссылки и оговорки — в листе «Отзывы». Ряд точек обозначает территорию, парковку или вершину, а не вход. Линии от номеров соединены с фактической точкой.</x:v>
      </x:c>
      <x:c r="J89" s="4" t="str">
        <x:v>Картографическая основа и большинство координат: © OpenStreetMap contributors, ODbL. Дополнительные координаты взяты из открытых карточек мест; ссылки и оговорки — в листе «Отзывы». Ряд точек обозначает территорию, парковку или вершину, а не вход. Линии от номеров соединены с фактической точкой.</x:v>
      </x:c>
      <x:c r="K89" s="4" t="str">
        <x:v>Картографическая основа и большинство координат: © OpenStreetMap contributors, ODbL. Дополнительные координаты взяты из открытых карточек мест; ссылки и оговорки — в листе «Отзывы». Ряд точек обозначает территорию, парковку или вершину, а не вход. Линии от номеров соединены с фактической точкой.</x:v>
      </x:c>
      <x:c r="L89" s="4" t="str">
        <x:v>Картографическая основа и большинство координат: © OpenStreetMap contributors, ODbL. Дополнительные координаты взяты из открытых карточек мест; ссылки и оговорки — в листе «Отзывы». Ряд точек обозначает территорию, парковку или вершину, а не вход. Линии от номеров соединены с фактической точкой.</x:v>
      </x:c>
      <x:c r="M89" s="4" t="str">
        <x:v>Картографическая основа и большинство координат: © OpenStreetMap contributors, ODbL. Дополнительные координаты взяты из открытых карточек мест; ссылки и оговорки — в листе «Отзывы». Ряд точек обозначает территорию, парковку или вершину, а не вход. Линии от номеров соединены с фактической точкой.</x:v>
      </x:c>
      <x:c r="N89" s="4" t="str">
        <x:v>Картографическая основа и большинство координат: © OpenStreetMap contributors, ODbL. Дополнительные координаты взяты из открытых карточек мест; ссылки и оговорки — в листе «Отзывы». Ряд точек обозначает территорию, парковку или вершину, а не вход. Линии от номеров соединены с фактической точкой.</x:v>
      </x:c>
    </x:row>
    <x:row r="90" ht="18.75" customHeight="1">
      <x:c r="A90" s="4"/>
      <x:c r="B90" s="4"/>
      <x:c r="C90" s="4"/>
      <x:c r="D90" s="4"/>
      <x:c r="E90" s="4"/>
      <x:c r="F90" s="4"/>
      <x:c r="G90" s="4"/>
      <x:c r="H90" s="4"/>
      <x:c r="I90" s="4"/>
      <x:c r="J90" s="4"/>
      <x:c r="K90" s="4"/>
      <x:c r="L90" s="4"/>
      <x:c r="M90" s="4"/>
      <x:c r="N90" s="4"/>
    </x:row>
    <x:row r="91" ht="18.75" customHeight="1">
      <x:c r="A91" s="8" t="str">
        <x:f>HYPERLINK("https://www.openstreetmap.org/copyright","Лицензия карты ↗")</x:f>
        <x:v>Лицензия карты ↗</x:v>
      </x:c>
      <x:c r="B91" s="4"/>
      <x:c r="C91" s="4"/>
      <x:c r="D91" s="4"/>
      <x:c r="E91" s="4"/>
      <x:c r="F91" s="8" t="str">
        <x:f>HYPERLINK("#'Начать здесь'!A1","К началу →")</x:f>
        <x:v>К началу →</x:v>
      </x:c>
      <x:c r="G91" s="4"/>
      <x:c r="H91" s="4"/>
      <x:c r="I91" s="4"/>
      <x:c r="J91" s="4"/>
      <x:c r="K91" s="4"/>
      <x:c r="L91" s="4"/>
      <x:c r="M91" s="4"/>
      <x:c r="N91" s="4"/>
    </x:row>
    <x:row r="92" ht="18.75" customHeight="1">
      <x:c r="A92" s="4"/>
      <x:c r="B92" s="4"/>
      <x:c r="C92" s="4"/>
      <x:c r="D92" s="4"/>
      <x:c r="E92" s="4"/>
      <x:c r="F92" s="4"/>
      <x:c r="G92" s="4"/>
      <x:c r="H92" s="4"/>
      <x:c r="I92" s="4"/>
      <x:c r="J92" s="4"/>
      <x:c r="K92" s="4"/>
      <x:c r="L92" s="4"/>
      <x:c r="M92" s="4"/>
      <x:c r="N92" s="4"/>
    </x:row>
    <x:row r="93" ht="18.75" customHeight="1">
      <x:c r="A93" s="4"/>
      <x:c r="B93" s="4"/>
      <x:c r="C93" s="4"/>
      <x:c r="D93" s="4"/>
      <x:c r="E93" s="4"/>
      <x:c r="F93" s="4"/>
      <x:c r="G93" s="4"/>
      <x:c r="H93" s="4"/>
      <x:c r="I93" s="4"/>
      <x:c r="J93" s="4"/>
      <x:c r="K93" s="4"/>
      <x:c r="L93" s="4"/>
      <x:c r="M93" s="4"/>
      <x:c r="N93" s="4"/>
    </x:row>
    <x:row r="94" ht="18.75" customHeight="1">
      <x:c r="A94" s="4"/>
      <x:c r="B94" s="4"/>
      <x:c r="C94" s="4"/>
      <x:c r="D94" s="4"/>
      <x:c r="E94" s="4"/>
      <x:c r="F94" s="4"/>
      <x:c r="G94" s="4"/>
      <x:c r="H94" s="4"/>
      <x:c r="I94" s="4"/>
      <x:c r="J94" s="4"/>
      <x:c r="K94" s="4"/>
      <x:c r="L94" s="4"/>
      <x:c r="M94" s="4"/>
      <x:c r="N94" s="4"/>
    </x:row>
    <x:row r="95" ht="18.75" customHeight="1">
      <x:c r="A95" s="4"/>
      <x:c r="B95" s="4"/>
      <x:c r="C95" s="4"/>
      <x:c r="D95" s="4"/>
      <x:c r="E95" s="4"/>
      <x:c r="F95" s="4"/>
      <x:c r="G95" s="4"/>
      <x:c r="H95" s="4"/>
      <x:c r="I95" s="4"/>
      <x:c r="J95" s="4"/>
      <x:c r="K95" s="4"/>
      <x:c r="L95" s="4"/>
      <x:c r="M95" s="4"/>
      <x:c r="N95" s="4"/>
    </x:row>
    <x:row r="96" ht="18.75" customHeight="1">
      <x:c r="A96" s="4"/>
      <x:c r="B96" s="4"/>
      <x:c r="C96" s="4"/>
      <x:c r="D96" s="4"/>
      <x:c r="E96" s="4"/>
      <x:c r="F96" s="4"/>
      <x:c r="G96" s="4"/>
      <x:c r="H96" s="4"/>
      <x:c r="I96" s="4"/>
      <x:c r="J96" s="4"/>
      <x:c r="K96" s="4"/>
      <x:c r="L96" s="4"/>
      <x:c r="M96" s="4"/>
      <x:c r="N96" s="4"/>
    </x:row>
    <x:row r="97" ht="18.75" customHeight="1">
      <x:c r="A97" s="4"/>
      <x:c r="B97" s="4"/>
      <x:c r="C97" s="4"/>
      <x:c r="D97" s="4"/>
      <x:c r="E97" s="4"/>
      <x:c r="F97" s="4"/>
      <x:c r="G97" s="4"/>
      <x:c r="H97" s="4"/>
      <x:c r="I97" s="4"/>
      <x:c r="J97" s="4"/>
      <x:c r="K97" s="4"/>
      <x:c r="L97" s="4"/>
      <x:c r="M97" s="4"/>
      <x:c r="N97" s="4"/>
    </x:row>
    <x:row r="98" ht="18.75" customHeight="1">
      <x:c r="A98" s="4"/>
      <x:c r="B98" s="4"/>
      <x:c r="C98" s="4"/>
      <x:c r="D98" s="4"/>
      <x:c r="E98" s="4"/>
      <x:c r="F98" s="4"/>
      <x:c r="G98" s="4"/>
      <x:c r="H98" s="4"/>
      <x:c r="I98" s="4"/>
      <x:c r="J98" s="4"/>
      <x:c r="K98" s="4"/>
      <x:c r="L98" s="4"/>
      <x:c r="M98" s="4"/>
      <x:c r="N98" s="4"/>
    </x:row>
    <x:row r="99" ht="18.75" customHeight="1">
      <x:c r="A99" s="4"/>
      <x:c r="B99" s="4"/>
      <x:c r="C99" s="4"/>
      <x:c r="D99" s="4"/>
      <x:c r="E99" s="4"/>
      <x:c r="F99" s="4"/>
      <x:c r="G99" s="4"/>
      <x:c r="H99" s="4"/>
      <x:c r="I99" s="4"/>
      <x:c r="J99" s="4"/>
      <x:c r="K99" s="4"/>
      <x:c r="L99" s="4"/>
      <x:c r="M99" s="4"/>
      <x:c r="N99" s="4"/>
    </x:row>
    <x:row r="100" ht="18.75" customHeight="1">
      <x:c r="A100" s="4"/>
      <x:c r="B100" s="4"/>
      <x:c r="C100" s="4"/>
      <x:c r="D100" s="4"/>
      <x:c r="E100" s="4"/>
      <x:c r="F100" s="4"/>
      <x:c r="G100" s="4"/>
      <x:c r="H100" s="4"/>
      <x:c r="I100" s="4"/>
      <x:c r="J100" s="4"/>
      <x:c r="K100" s="4"/>
      <x:c r="L100" s="4"/>
      <x:c r="M100" s="4"/>
      <x:c r="N100" s="4"/>
    </x:row>
    <x:row r="101" ht="18.75" customHeight="1">
      <x:c r="A101" s="4"/>
      <x:c r="B101" s="4"/>
      <x:c r="C101" s="4"/>
      <x:c r="D101" s="4"/>
      <x:c r="E101" s="4"/>
      <x:c r="F101" s="4"/>
      <x:c r="G101" s="4"/>
      <x:c r="H101" s="4"/>
      <x:c r="I101" s="4"/>
      <x:c r="J101" s="4"/>
      <x:c r="K101" s="4"/>
      <x:c r="L101" s="4"/>
      <x:c r="M101" s="4"/>
      <x:c r="N101" s="4"/>
    </x:row>
    <x:row r="102" ht="18.75" customHeight="1">
      <x:c r="A102" s="4"/>
      <x:c r="B102" s="4"/>
      <x:c r="C102" s="4"/>
      <x:c r="D102" s="4"/>
      <x:c r="E102" s="4"/>
      <x:c r="F102" s="4"/>
      <x:c r="G102" s="4"/>
      <x:c r="H102" s="4"/>
      <x:c r="I102" s="4"/>
      <x:c r="J102" s="4"/>
      <x:c r="K102" s="4"/>
      <x:c r="L102" s="4"/>
      <x:c r="M102" s="4"/>
      <x:c r="N102" s="4"/>
    </x:row>
    <x:row r="103" ht="18.75" customHeight="1">
      <x:c r="A103" s="4"/>
      <x:c r="B103" s="4"/>
      <x:c r="C103" s="4"/>
      <x:c r="D103" s="4"/>
      <x:c r="E103" s="4"/>
      <x:c r="F103" s="4"/>
      <x:c r="G103" s="4"/>
      <x:c r="H103" s="4"/>
      <x:c r="I103" s="4"/>
      <x:c r="J103" s="4"/>
      <x:c r="K103" s="4"/>
      <x:c r="L103" s="4"/>
      <x:c r="M103" s="4"/>
      <x:c r="N103" s="4"/>
    </x:row>
    <x:row r="104" ht="18.75" customHeight="1">
      <x:c r="A104" s="4"/>
      <x:c r="B104" s="4"/>
      <x:c r="C104" s="4"/>
      <x:c r="D104" s="4"/>
      <x:c r="E104" s="4"/>
      <x:c r="F104" s="4"/>
      <x:c r="G104" s="4"/>
      <x:c r="H104" s="4"/>
      <x:c r="I104" s="4"/>
      <x:c r="J104" s="4"/>
      <x:c r="K104" s="4"/>
      <x:c r="L104" s="4"/>
      <x:c r="M104" s="4"/>
      <x:c r="N104" s="4"/>
    </x:row>
    <x:row r="105" ht="18.75" customHeight="1">
      <x:c r="A105" s="4"/>
      <x:c r="B105" s="4"/>
      <x:c r="C105" s="4"/>
      <x:c r="D105" s="4"/>
      <x:c r="E105" s="4"/>
      <x:c r="F105" s="4"/>
      <x:c r="G105" s="4"/>
      <x:c r="H105" s="4"/>
      <x:c r="I105" s="4"/>
      <x:c r="J105" s="4"/>
      <x:c r="K105" s="4"/>
      <x:c r="L105" s="4"/>
      <x:c r="M105" s="4"/>
      <x:c r="N105" s="4"/>
    </x:row>
    <x:row r="106" ht="18.75" customHeight="1">
      <x:c r="A106" s="4"/>
      <x:c r="B106" s="4"/>
      <x:c r="C106" s="4"/>
      <x:c r="D106" s="4"/>
      <x:c r="E106" s="4"/>
      <x:c r="F106" s="4"/>
      <x:c r="G106" s="4"/>
      <x:c r="H106" s="4"/>
      <x:c r="I106" s="4"/>
      <x:c r="J106" s="4"/>
      <x:c r="K106" s="4"/>
      <x:c r="L106" s="4"/>
      <x:c r="M106" s="4"/>
      <x:c r="N106" s="4"/>
    </x:row>
    <x:row r="107" ht="18.75" customHeight="1">
      <x:c r="A107" s="4"/>
      <x:c r="B107" s="4"/>
      <x:c r="C107" s="4"/>
      <x:c r="D107" s="4"/>
      <x:c r="E107" s="4"/>
      <x:c r="F107" s="4"/>
      <x:c r="G107" s="4"/>
      <x:c r="H107" s="4"/>
      <x:c r="I107" s="4"/>
      <x:c r="J107" s="4"/>
      <x:c r="K107" s="4"/>
      <x:c r="L107" s="4"/>
      <x:c r="M107" s="4"/>
      <x:c r="N107" s="4"/>
    </x:row>
    <x:row r="108" ht="18.75" customHeight="1">
      <x:c r="A108" s="4"/>
      <x:c r="B108" s="4"/>
      <x:c r="C108" s="4"/>
      <x:c r="D108" s="4"/>
      <x:c r="E108" s="4"/>
      <x:c r="F108" s="4"/>
      <x:c r="G108" s="4"/>
      <x:c r="H108" s="4"/>
      <x:c r="I108" s="4"/>
      <x:c r="J108" s="4"/>
      <x:c r="K108" s="4"/>
      <x:c r="L108" s="4"/>
      <x:c r="M108" s="4"/>
      <x:c r="N108" s="4"/>
    </x:row>
    <x:row r="109" ht="18.75" customHeight="1">
      <x:c r="A109" s="4"/>
      <x:c r="B109" s="4"/>
      <x:c r="C109" s="4"/>
      <x:c r="D109" s="4"/>
      <x:c r="E109" s="4"/>
      <x:c r="F109" s="4"/>
      <x:c r="G109" s="4"/>
      <x:c r="H109" s="4"/>
      <x:c r="I109" s="4"/>
      <x:c r="J109" s="4"/>
      <x:c r="K109" s="4"/>
      <x:c r="L109" s="4"/>
      <x:c r="M109" s="4"/>
      <x:c r="N109" s="4"/>
    </x:row>
    <x:row r="110" ht="18.75" customHeight="1">
      <x:c r="A110" s="4"/>
      <x:c r="B110" s="4"/>
      <x:c r="C110" s="4"/>
      <x:c r="D110" s="4"/>
      <x:c r="E110" s="4"/>
      <x:c r="F110" s="4"/>
      <x:c r="G110" s="4"/>
      <x:c r="H110" s="4"/>
      <x:c r="I110" s="4"/>
      <x:c r="J110" s="4"/>
      <x:c r="K110" s="4"/>
      <x:c r="L110" s="4"/>
      <x:c r="M110" s="4"/>
      <x:c r="N110" s="4"/>
    </x:row>
    <x:row r="111" ht="18.75" customHeight="1">
      <x:c r="A111" s="4"/>
      <x:c r="B111" s="4"/>
      <x:c r="C111" s="4"/>
      <x:c r="D111" s="4"/>
      <x:c r="E111" s="4"/>
      <x:c r="F111" s="4"/>
      <x:c r="G111" s="4"/>
      <x:c r="H111" s="4"/>
      <x:c r="I111" s="4"/>
      <x:c r="J111" s="4"/>
      <x:c r="K111" s="4"/>
      <x:c r="L111" s="4"/>
      <x:c r="M111" s="4"/>
      <x:c r="N111" s="4"/>
    </x:row>
    <x:row r="112" ht="18.75" customHeight="1">
      <x:c r="A112" s="4"/>
      <x:c r="B112" s="4"/>
      <x:c r="C112" s="4"/>
      <x:c r="D112" s="4"/>
      <x:c r="E112" s="4"/>
      <x:c r="F112" s="4"/>
      <x:c r="G112" s="4"/>
      <x:c r="H112" s="4"/>
      <x:c r="I112" s="4"/>
      <x:c r="J112" s="4"/>
      <x:c r="K112" s="4"/>
      <x:c r="L112" s="4"/>
      <x:c r="M112" s="4"/>
      <x:c r="N112" s="4"/>
    </x:row>
    <x:row r="113" ht="18.75" customHeight="1">
      <x:c r="A113" s="4"/>
      <x:c r="B113" s="4"/>
      <x:c r="C113" s="4"/>
      <x:c r="D113" s="4"/>
      <x:c r="E113" s="4"/>
      <x:c r="F113" s="4"/>
      <x:c r="G113" s="4"/>
      <x:c r="H113" s="4"/>
      <x:c r="I113" s="4"/>
      <x:c r="J113" s="4"/>
      <x:c r="K113" s="4"/>
      <x:c r="L113" s="4"/>
      <x:c r="M113" s="4"/>
      <x:c r="N113" s="4"/>
    </x:row>
    <x:row r="114" ht="18.75" customHeight="1">
      <x:c r="A114" s="4"/>
      <x:c r="B114" s="4"/>
      <x:c r="C114" s="4"/>
      <x:c r="D114" s="4"/>
      <x:c r="E114" s="4"/>
      <x:c r="F114" s="4"/>
      <x:c r="G114" s="4"/>
      <x:c r="H114" s="4"/>
      <x:c r="I114" s="4"/>
      <x:c r="J114" s="4"/>
      <x:c r="K114" s="4"/>
      <x:c r="L114" s="4"/>
      <x:c r="M114" s="4"/>
      <x:c r="N114" s="4"/>
    </x:row>
    <x:row r="115" ht="18.75" customHeight="1">
      <x:c r="A115" s="4"/>
      <x:c r="B115" s="4"/>
      <x:c r="C115" s="4"/>
      <x:c r="D115" s="4"/>
      <x:c r="E115" s="4"/>
      <x:c r="F115" s="4"/>
      <x:c r="G115" s="4"/>
      <x:c r="H115" s="4"/>
      <x:c r="I115" s="4"/>
      <x:c r="J115" s="4"/>
      <x:c r="K115" s="4"/>
      <x:c r="L115" s="4"/>
      <x:c r="M115" s="4"/>
      <x:c r="N115" s="4"/>
    </x:row>
    <x:row r="116" ht="18.75" customHeight="1">
      <x:c r="A116" s="4"/>
      <x:c r="B116" s="4"/>
      <x:c r="C116" s="4"/>
      <x:c r="D116" s="4"/>
      <x:c r="E116" s="4"/>
      <x:c r="F116" s="4"/>
      <x:c r="G116" s="4"/>
      <x:c r="H116" s="4"/>
      <x:c r="I116" s="4"/>
      <x:c r="J116" s="4"/>
      <x:c r="K116" s="4"/>
      <x:c r="L116" s="4"/>
      <x:c r="M116" s="4"/>
      <x:c r="N116" s="4"/>
    </x:row>
    <x:row r="117" ht="18.75" customHeight="1">
      <x:c r="A117" s="4"/>
      <x:c r="B117" s="4"/>
      <x:c r="C117" s="4"/>
      <x:c r="D117" s="4"/>
      <x:c r="E117" s="4"/>
      <x:c r="F117" s="4"/>
      <x:c r="G117" s="4"/>
      <x:c r="H117" s="4"/>
      <x:c r="I117" s="4"/>
      <x:c r="J117" s="4"/>
      <x:c r="K117" s="4"/>
      <x:c r="L117" s="4"/>
      <x:c r="M117" s="4"/>
      <x:c r="N117" s="4"/>
    </x:row>
    <x:row r="118" ht="18.75" customHeight="1">
      <x:c r="A118" s="4"/>
      <x:c r="B118" s="4"/>
      <x:c r="C118" s="4"/>
      <x:c r="D118" s="4"/>
      <x:c r="E118" s="4"/>
      <x:c r="F118" s="4"/>
      <x:c r="G118" s="4"/>
      <x:c r="H118" s="4"/>
      <x:c r="I118" s="4"/>
      <x:c r="J118" s="4"/>
      <x:c r="K118" s="4"/>
      <x:c r="L118" s="4"/>
      <x:c r="M118" s="4"/>
      <x:c r="N118" s="4"/>
    </x:row>
    <x:row r="119" ht="18.75" customHeight="1">
      <x:c r="A119" s="4"/>
      <x:c r="B119" s="4"/>
      <x:c r="C119" s="4"/>
      <x:c r="D119" s="4"/>
      <x:c r="E119" s="4"/>
      <x:c r="F119" s="4"/>
      <x:c r="G119" s="4"/>
      <x:c r="H119" s="4"/>
      <x:c r="I119" s="4"/>
      <x:c r="J119" s="4"/>
      <x:c r="K119" s="4"/>
      <x:c r="L119" s="4"/>
      <x:c r="M119" s="4"/>
      <x:c r="N119" s="4"/>
    </x:row>
    <x:row r="120" ht="18.75" customHeight="1">
      <x:c r="A120" s="4"/>
      <x:c r="B120" s="4"/>
      <x:c r="C120" s="4"/>
      <x:c r="D120" s="4"/>
      <x:c r="E120" s="4"/>
      <x:c r="F120" s="4"/>
      <x:c r="G120" s="4"/>
      <x:c r="H120" s="4"/>
      <x:c r="I120" s="4"/>
      <x:c r="J120" s="4"/>
      <x:c r="K120" s="4"/>
      <x:c r="L120" s="4"/>
      <x:c r="M120" s="4"/>
      <x:c r="N120" s="4"/>
    </x:row>
    <x:row r="121" ht="18.75" customHeight="1">
      <x:c r="A121" s="4"/>
      <x:c r="B121" s="4"/>
      <x:c r="C121" s="4"/>
      <x:c r="D121" s="4"/>
      <x:c r="E121" s="4"/>
      <x:c r="F121" s="4"/>
      <x:c r="G121" s="4"/>
      <x:c r="H121" s="4"/>
      <x:c r="I121" s="4"/>
      <x:c r="J121" s="4"/>
      <x:c r="K121" s="4"/>
      <x:c r="L121" s="4"/>
      <x:c r="M121" s="4"/>
      <x:c r="N121" s="4"/>
    </x:row>
    <x:row r="122" ht="18.75" customHeight="1">
      <x:c r="A122" s="4"/>
      <x:c r="B122" s="4"/>
      <x:c r="C122" s="4"/>
      <x:c r="D122" s="4"/>
      <x:c r="E122" s="4"/>
      <x:c r="F122" s="4"/>
      <x:c r="G122" s="4"/>
      <x:c r="H122" s="4"/>
      <x:c r="I122" s="4"/>
      <x:c r="J122" s="4"/>
      <x:c r="K122" s="4"/>
      <x:c r="L122" s="4"/>
      <x:c r="M122" s="4"/>
      <x:c r="N122" s="4"/>
    </x:row>
    <x:row r="123" ht="18.75" customHeight="1">
      <x:c r="A123" s="4"/>
      <x:c r="B123" s="4"/>
      <x:c r="C123" s="4"/>
      <x:c r="D123" s="4"/>
      <x:c r="E123" s="4"/>
      <x:c r="F123" s="4"/>
      <x:c r="G123" s="4"/>
      <x:c r="H123" s="4"/>
      <x:c r="I123" s="4"/>
      <x:c r="J123" s="4"/>
      <x:c r="K123" s="4"/>
      <x:c r="L123" s="4"/>
      <x:c r="M123" s="4"/>
      <x:c r="N123" s="4"/>
    </x:row>
    <x:row r="124" ht="18.75" customHeight="1">
      <x:c r="A124" s="4"/>
      <x:c r="B124" s="4"/>
      <x:c r="C124" s="4"/>
      <x:c r="D124" s="4"/>
      <x:c r="E124" s="4"/>
      <x:c r="F124" s="4"/>
      <x:c r="G124" s="4"/>
      <x:c r="H124" s="4"/>
      <x:c r="I124" s="4"/>
      <x:c r="J124" s="4"/>
      <x:c r="K124" s="4"/>
      <x:c r="L124" s="4"/>
      <x:c r="M124" s="4"/>
      <x:c r="N124" s="4"/>
    </x:row>
    <x:row r="125" ht="18.75" customHeight="1">
      <x:c r="A125" s="4"/>
      <x:c r="B125" s="4"/>
      <x:c r="C125" s="4"/>
      <x:c r="D125" s="4"/>
      <x:c r="E125" s="4"/>
      <x:c r="F125" s="4"/>
      <x:c r="G125" s="4"/>
      <x:c r="H125" s="4"/>
      <x:c r="I125" s="4"/>
      <x:c r="J125" s="4"/>
      <x:c r="K125" s="4"/>
      <x:c r="L125" s="4"/>
      <x:c r="M125" s="4"/>
      <x:c r="N125" s="4"/>
    </x:row>
    <x:row r="126" ht="18.75" customHeight="1">
      <x:c r="A126" s="4"/>
      <x:c r="B126" s="4"/>
      <x:c r="C126" s="4"/>
      <x:c r="D126" s="4"/>
      <x:c r="E126" s="4"/>
      <x:c r="F126" s="4"/>
      <x:c r="G126" s="4"/>
      <x:c r="H126" s="4"/>
      <x:c r="I126" s="4"/>
      <x:c r="J126" s="4"/>
      <x:c r="K126" s="4"/>
      <x:c r="L126" s="4"/>
      <x:c r="M126" s="4"/>
      <x:c r="N126" s="4"/>
    </x:row>
    <x:row r="127" ht="18.75" customHeight="1">
      <x:c r="A127" s="4"/>
      <x:c r="B127" s="4"/>
      <x:c r="C127" s="4"/>
      <x:c r="D127" s="4"/>
      <x:c r="E127" s="4"/>
      <x:c r="F127" s="4"/>
      <x:c r="G127" s="4"/>
      <x:c r="H127" s="4"/>
      <x:c r="I127" s="4"/>
      <x:c r="J127" s="4"/>
      <x:c r="K127" s="4"/>
      <x:c r="L127" s="4"/>
      <x:c r="M127" s="4"/>
      <x:c r="N127" s="4"/>
    </x:row>
    <x:row r="128" ht="18.75" customHeight="1">
      <x:c r="A128" s="4"/>
      <x:c r="B128" s="4"/>
      <x:c r="C128" s="4"/>
      <x:c r="D128" s="4"/>
      <x:c r="E128" s="4"/>
      <x:c r="F128" s="4"/>
      <x:c r="G128" s="4"/>
      <x:c r="H128" s="4"/>
      <x:c r="I128" s="4"/>
      <x:c r="J128" s="4"/>
      <x:c r="K128" s="4"/>
      <x:c r="L128" s="4"/>
      <x:c r="M128" s="4"/>
      <x:c r="N128" s="4"/>
    </x:row>
    <x:row r="129" ht="18.75" customHeight="1">
      <x:c r="A129" s="4"/>
      <x:c r="B129" s="4"/>
      <x:c r="C129" s="4"/>
      <x:c r="D129" s="4"/>
      <x:c r="E129" s="4"/>
      <x:c r="F129" s="4"/>
      <x:c r="G129" s="4"/>
      <x:c r="H129" s="4"/>
      <x:c r="I129" s="4"/>
      <x:c r="J129" s="4"/>
      <x:c r="K129" s="4"/>
      <x:c r="L129" s="4"/>
      <x:c r="M129" s="4"/>
      <x:c r="N129" s="4"/>
    </x:row>
    <x:row r="130" ht="18.75" customHeight="1">
      <x:c r="A130" s="4"/>
      <x:c r="B130" s="4"/>
      <x:c r="C130" s="4"/>
      <x:c r="D130" s="4"/>
      <x:c r="E130" s="4"/>
      <x:c r="F130" s="4"/>
      <x:c r="G130" s="4"/>
      <x:c r="H130" s="4"/>
      <x:c r="I130" s="4"/>
      <x:c r="J130" s="4"/>
      <x:c r="K130" s="4"/>
      <x:c r="L130" s="4"/>
      <x:c r="M130" s="4"/>
      <x:c r="N130" s="4"/>
    </x:row>
    <x:row r="131" ht="18.75" customHeight="1">
      <x:c r="A131" s="4"/>
      <x:c r="B131" s="4"/>
      <x:c r="C131" s="4"/>
      <x:c r="D131" s="4"/>
      <x:c r="E131" s="4"/>
      <x:c r="F131" s="4"/>
      <x:c r="G131" s="4"/>
      <x:c r="H131" s="4"/>
      <x:c r="I131" s="4"/>
      <x:c r="J131" s="4"/>
      <x:c r="K131" s="4"/>
      <x:c r="L131" s="4"/>
      <x:c r="M131" s="4"/>
      <x:c r="N131" s="4"/>
    </x:row>
  </x:sheetData>
  <x:mergeCells>
    <x:mergeCell ref="A1:N2"/>
    <x:mergeCell ref="A3:N4"/>
    <x:mergeCell ref="A45:N45"/>
    <x:mergeCell ref="B47:G47"/>
    <x:mergeCell ref="I47:N47"/>
    <x:mergeCell ref="B48:G48"/>
    <x:mergeCell ref="I48:N48"/>
    <x:mergeCell ref="B49:G49"/>
    <x:mergeCell ref="I49:N49"/>
    <x:mergeCell ref="B50:G50"/>
    <x:mergeCell ref="I50:N50"/>
    <x:mergeCell ref="B51:G51"/>
    <x:mergeCell ref="I51:N51"/>
    <x:mergeCell ref="B52:G52"/>
    <x:mergeCell ref="I52:N52"/>
    <x:mergeCell ref="B53:G53"/>
    <x:mergeCell ref="I53:N53"/>
    <x:mergeCell ref="B54:G54"/>
    <x:mergeCell ref="I54:N54"/>
    <x:mergeCell ref="B55:G55"/>
    <x:mergeCell ref="I55:N55"/>
    <x:mergeCell ref="B56:G56"/>
    <x:mergeCell ref="I56:N56"/>
    <x:mergeCell ref="B57:G57"/>
    <x:mergeCell ref="I57:N57"/>
    <x:mergeCell ref="B58:G58"/>
    <x:mergeCell ref="I58:N58"/>
    <x:mergeCell ref="B59:G59"/>
    <x:mergeCell ref="I59:N59"/>
    <x:mergeCell ref="B60:G60"/>
    <x:mergeCell ref="I60:N60"/>
    <x:mergeCell ref="B61:G61"/>
    <x:mergeCell ref="I61:N61"/>
    <x:mergeCell ref="B62:G62"/>
    <x:mergeCell ref="I62:N62"/>
    <x:mergeCell ref="B63:G63"/>
    <x:mergeCell ref="I63:N63"/>
    <x:mergeCell ref="B64:G64"/>
    <x:mergeCell ref="I64:N64"/>
    <x:mergeCell ref="B65:G65"/>
    <x:mergeCell ref="I65:N65"/>
    <x:mergeCell ref="B66:G66"/>
    <x:mergeCell ref="I66:N66"/>
    <x:mergeCell ref="B67:G67"/>
    <x:mergeCell ref="I67:N67"/>
    <x:mergeCell ref="B68:G68"/>
    <x:mergeCell ref="I68:N68"/>
    <x:mergeCell ref="B69:G69"/>
    <x:mergeCell ref="I69:N69"/>
    <x:mergeCell ref="B70:G70"/>
    <x:mergeCell ref="I70:N70"/>
    <x:mergeCell ref="B71:G71"/>
    <x:mergeCell ref="I71:N71"/>
    <x:mergeCell ref="B72:G72"/>
    <x:mergeCell ref="I72:N72"/>
    <x:mergeCell ref="B73:G73"/>
    <x:mergeCell ref="I73:N73"/>
    <x:mergeCell ref="B74:G74"/>
    <x:mergeCell ref="I74:N74"/>
    <x:mergeCell ref="B75:G75"/>
    <x:mergeCell ref="I75:N75"/>
    <x:mergeCell ref="B76:G76"/>
    <x:mergeCell ref="I76:N76"/>
    <x:mergeCell ref="B77:G77"/>
    <x:mergeCell ref="I77:N77"/>
    <x:mergeCell ref="B78:G78"/>
    <x:mergeCell ref="I78:N78"/>
    <x:mergeCell ref="B79:G79"/>
    <x:mergeCell ref="I79:N79"/>
    <x:mergeCell ref="B80:G80"/>
    <x:mergeCell ref="I80:N80"/>
    <x:mergeCell ref="B81:G81"/>
    <x:mergeCell ref="I81:N81"/>
    <x:mergeCell ref="B82:G82"/>
    <x:mergeCell ref="I82:N82"/>
    <x:mergeCell ref="B83:G83"/>
    <x:mergeCell ref="A86:N89"/>
  </x:mergeCells>
  <x:pageMargins left="0.7" right="0.7" top="0.75" bottom="0.75" header="0.3" footer="0.3"/>
  <x:drawing xmlns:r="http://schemas.openxmlformats.org/officeDocument/2006/relationships" r:id="R24601c597ff14382"/>
</x:worksheet>
</file>